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sp0002armi-nas\shared\accounting\Acshare\STAT\CORP80\2022\"/>
    </mc:Choice>
  </mc:AlternateContent>
  <xr:revisionPtr revIDLastSave="0" documentId="8_{B8DD71FE-7625-43EF-9F49-BAA01802F5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MIC_22A_SCDPT1" sheetId="1" r:id="rId1"/>
    <sheet name="GMIC_22A_SCDPT1F" sheetId="2" r:id="rId2"/>
    <sheet name="GMIC_22A_SCDPT2SN1" sheetId="3" r:id="rId3"/>
    <sheet name="GMIC_22A_SCDPT2SN1F" sheetId="4" r:id="rId4"/>
    <sheet name="GMIC_22A_SCDPT2SN2" sheetId="5" r:id="rId5"/>
    <sheet name="GMIC_22A_SCDPT2SN2F" sheetId="6" r:id="rId6"/>
    <sheet name="GMIC_22A_SCDPT3" sheetId="7" r:id="rId7"/>
    <sheet name="GMIC_22A_SCDPT4" sheetId="8" r:id="rId8"/>
    <sheet name="GMIC_22A_SCDPT5" sheetId="9" r:id="rId9"/>
    <sheet name="GMIC_22A_SCDPT6SN1" sheetId="10" r:id="rId10"/>
    <sheet name="GMIC_22A_SCDPT6SN1F" sheetId="11" r:id="rId11"/>
    <sheet name="GMIC_22A_SCDPT6SN2" sheetId="12" r:id="rId12"/>
  </sheets>
  <definedNames>
    <definedName name="SCDPT1_0010000000_Range" localSheetId="0">GMIC_22A_SCDPT1!$B$7:$AN$23</definedName>
    <definedName name="SCDPT1_0010000001_1" localSheetId="0">GMIC_22A_SCDPT1!$C$8</definedName>
    <definedName name="SCDPT1_0010000001_10" localSheetId="0">GMIC_22A_SCDPT1!$N$8</definedName>
    <definedName name="SCDPT1_0010000001_11" localSheetId="0">GMIC_22A_SCDPT1!$O$8</definedName>
    <definedName name="SCDPT1_0010000001_12" localSheetId="0">GMIC_22A_SCDPT1!$P$8</definedName>
    <definedName name="SCDPT1_0010000001_13" localSheetId="0">GMIC_22A_SCDPT1!$Q$8</definedName>
    <definedName name="SCDPT1_0010000001_14" localSheetId="0">GMIC_22A_SCDPT1!$R$8</definedName>
    <definedName name="SCDPT1_0010000001_15" localSheetId="0">GMIC_22A_SCDPT1!$S$8</definedName>
    <definedName name="SCDPT1_0010000001_16" localSheetId="0">GMIC_22A_SCDPT1!$T$8</definedName>
    <definedName name="SCDPT1_0010000001_17" localSheetId="0">GMIC_22A_SCDPT1!$U$8</definedName>
    <definedName name="SCDPT1_0010000001_18" localSheetId="0">GMIC_22A_SCDPT1!$V$8</definedName>
    <definedName name="SCDPT1_0010000001_19" localSheetId="0">GMIC_22A_SCDPT1!$W$8</definedName>
    <definedName name="SCDPT1_0010000001_2" localSheetId="0">GMIC_22A_SCDPT1!$D$8</definedName>
    <definedName name="SCDPT1_0010000001_20" localSheetId="0">GMIC_22A_SCDPT1!$X$8</definedName>
    <definedName name="SCDPT1_0010000001_21" localSheetId="0">GMIC_22A_SCDPT1!$Y$8</definedName>
    <definedName name="SCDPT1_0010000001_22" localSheetId="0">GMIC_22A_SCDPT1!$Z$8</definedName>
    <definedName name="SCDPT1_0010000001_24" localSheetId="0">GMIC_22A_SCDPT1!$AB$8</definedName>
    <definedName name="SCDPT1_0010000001_25" localSheetId="0">GMIC_22A_SCDPT1!$AC$8</definedName>
    <definedName name="SCDPT1_0010000001_27" localSheetId="0">GMIC_22A_SCDPT1!$AE$8</definedName>
    <definedName name="SCDPT1_0010000001_28" localSheetId="0">GMIC_22A_SCDPT1!$AF$8</definedName>
    <definedName name="SCDPT1_0010000001_29" localSheetId="0">GMIC_22A_SCDPT1!$AG$8</definedName>
    <definedName name="SCDPT1_0010000001_3" localSheetId="0">GMIC_22A_SCDPT1!$E$8</definedName>
    <definedName name="SCDPT1_0010000001_30" localSheetId="0">GMIC_22A_SCDPT1!$AH$8</definedName>
    <definedName name="SCDPT1_0010000001_31" localSheetId="0">GMIC_22A_SCDPT1!$AI$8</definedName>
    <definedName name="SCDPT1_0010000001_32" localSheetId="0">GMIC_22A_SCDPT1!$AJ$8</definedName>
    <definedName name="SCDPT1_0010000001_33" localSheetId="0">GMIC_22A_SCDPT1!$AK$8</definedName>
    <definedName name="SCDPT1_0010000001_34" localSheetId="0">GMIC_22A_SCDPT1!$AL$8</definedName>
    <definedName name="SCDPT1_0010000001_35" localSheetId="0">GMIC_22A_SCDPT1!$AM$8</definedName>
    <definedName name="SCDPT1_0010000001_36" localSheetId="0">GMIC_22A_SCDPT1!$AN$8</definedName>
    <definedName name="SCDPT1_0010000001_4" localSheetId="0">GMIC_22A_SCDPT1!$F$8</definedName>
    <definedName name="SCDPT1_0010000001_5" localSheetId="0">GMIC_22A_SCDPT1!$G$8</definedName>
    <definedName name="SCDPT1_0010000001_6.01" localSheetId="0">GMIC_22A_SCDPT1!$H$8</definedName>
    <definedName name="SCDPT1_0010000001_6.02" localSheetId="0">GMIC_22A_SCDPT1!$I$8</definedName>
    <definedName name="SCDPT1_0010000001_6.03" localSheetId="0">GMIC_22A_SCDPT1!$J$8</definedName>
    <definedName name="SCDPT1_0010000001_7" localSheetId="0">GMIC_22A_SCDPT1!$K$8</definedName>
    <definedName name="SCDPT1_0010000001_8" localSheetId="0">GMIC_22A_SCDPT1!$L$8</definedName>
    <definedName name="SCDPT1_0010000001_9" localSheetId="0">GMIC_22A_SCDPT1!$M$8</definedName>
    <definedName name="SCDPT1_0019999999_10" localSheetId="0">GMIC_22A_SCDPT1!$N$24</definedName>
    <definedName name="SCDPT1_0019999999_11" localSheetId="0">GMIC_22A_SCDPT1!$O$24</definedName>
    <definedName name="SCDPT1_0019999999_12" localSheetId="0">GMIC_22A_SCDPT1!$P$24</definedName>
    <definedName name="SCDPT1_0019999999_13" localSheetId="0">GMIC_22A_SCDPT1!$Q$24</definedName>
    <definedName name="SCDPT1_0019999999_14" localSheetId="0">GMIC_22A_SCDPT1!$R$24</definedName>
    <definedName name="SCDPT1_0019999999_15" localSheetId="0">GMIC_22A_SCDPT1!$S$24</definedName>
    <definedName name="SCDPT1_0019999999_19" localSheetId="0">GMIC_22A_SCDPT1!$W$24</definedName>
    <definedName name="SCDPT1_0019999999_20" localSheetId="0">GMIC_22A_SCDPT1!$X$24</definedName>
    <definedName name="SCDPT1_0019999999_7" localSheetId="0">GMIC_22A_SCDPT1!$K$24</definedName>
    <definedName name="SCDPT1_0019999999_9" localSheetId="0">GMIC_22A_SCDPT1!$M$24</definedName>
    <definedName name="SCDPT1_001BEGINNG_1" localSheetId="0">GMIC_22A_SCDPT1!$C$7</definedName>
    <definedName name="SCDPT1_001BEGINNG_10" localSheetId="0">GMIC_22A_SCDPT1!$N$7</definedName>
    <definedName name="SCDPT1_001BEGINNG_11" localSheetId="0">GMIC_22A_SCDPT1!$O$7</definedName>
    <definedName name="SCDPT1_001BEGINNG_12" localSheetId="0">GMIC_22A_SCDPT1!$P$7</definedName>
    <definedName name="SCDPT1_001BEGINNG_13" localSheetId="0">GMIC_22A_SCDPT1!$Q$7</definedName>
    <definedName name="SCDPT1_001BEGINNG_14" localSheetId="0">GMIC_22A_SCDPT1!$R$7</definedName>
    <definedName name="SCDPT1_001BEGINNG_15" localSheetId="0">GMIC_22A_SCDPT1!$S$7</definedName>
    <definedName name="SCDPT1_001BEGINNG_16" localSheetId="0">GMIC_22A_SCDPT1!$T$7</definedName>
    <definedName name="SCDPT1_001BEGINNG_17" localSheetId="0">GMIC_22A_SCDPT1!$U$7</definedName>
    <definedName name="SCDPT1_001BEGINNG_18" localSheetId="0">GMIC_22A_SCDPT1!$V$7</definedName>
    <definedName name="SCDPT1_001BEGINNG_19" localSheetId="0">GMIC_22A_SCDPT1!$W$7</definedName>
    <definedName name="SCDPT1_001BEGINNG_2" localSheetId="0">GMIC_22A_SCDPT1!$D$7</definedName>
    <definedName name="SCDPT1_001BEGINNG_20" localSheetId="0">GMIC_22A_SCDPT1!$X$7</definedName>
    <definedName name="SCDPT1_001BEGINNG_21" localSheetId="0">GMIC_22A_SCDPT1!$Y$7</definedName>
    <definedName name="SCDPT1_001BEGINNG_22" localSheetId="0">GMIC_22A_SCDPT1!$Z$7</definedName>
    <definedName name="SCDPT1_001BEGINNG_23" localSheetId="0">GMIC_22A_SCDPT1!$AA$7</definedName>
    <definedName name="SCDPT1_001BEGINNG_24" localSheetId="0">GMIC_22A_SCDPT1!$AB$7</definedName>
    <definedName name="SCDPT1_001BEGINNG_25" localSheetId="0">GMIC_22A_SCDPT1!$AC$7</definedName>
    <definedName name="SCDPT1_001BEGINNG_26" localSheetId="0">GMIC_22A_SCDPT1!$AD$7</definedName>
    <definedName name="SCDPT1_001BEGINNG_27" localSheetId="0">GMIC_22A_SCDPT1!$AE$7</definedName>
    <definedName name="SCDPT1_001BEGINNG_28" localSheetId="0">GMIC_22A_SCDPT1!$AF$7</definedName>
    <definedName name="SCDPT1_001BEGINNG_29" localSheetId="0">GMIC_22A_SCDPT1!$AG$7</definedName>
    <definedName name="SCDPT1_001BEGINNG_3" localSheetId="0">GMIC_22A_SCDPT1!$E$7</definedName>
    <definedName name="SCDPT1_001BEGINNG_30" localSheetId="0">GMIC_22A_SCDPT1!$AH$7</definedName>
    <definedName name="SCDPT1_001BEGINNG_31" localSheetId="0">GMIC_22A_SCDPT1!$AI$7</definedName>
    <definedName name="SCDPT1_001BEGINNG_32" localSheetId="0">GMIC_22A_SCDPT1!$AJ$7</definedName>
    <definedName name="SCDPT1_001BEGINNG_33" localSheetId="0">GMIC_22A_SCDPT1!$AK$7</definedName>
    <definedName name="SCDPT1_001BEGINNG_34" localSheetId="0">GMIC_22A_SCDPT1!$AL$7</definedName>
    <definedName name="SCDPT1_001BEGINNG_35" localSheetId="0">GMIC_22A_SCDPT1!$AM$7</definedName>
    <definedName name="SCDPT1_001BEGINNG_36" localSheetId="0">GMIC_22A_SCDPT1!$AN$7</definedName>
    <definedName name="SCDPT1_001BEGINNG_4" localSheetId="0">GMIC_22A_SCDPT1!$F$7</definedName>
    <definedName name="SCDPT1_001BEGINNG_5" localSheetId="0">GMIC_22A_SCDPT1!$G$7</definedName>
    <definedName name="SCDPT1_001BEGINNG_6.01" localSheetId="0">GMIC_22A_SCDPT1!$H$7</definedName>
    <definedName name="SCDPT1_001BEGINNG_6.02" localSheetId="0">GMIC_22A_SCDPT1!$I$7</definedName>
    <definedName name="SCDPT1_001BEGINNG_6.03" localSheetId="0">GMIC_22A_SCDPT1!$J$7</definedName>
    <definedName name="SCDPT1_001BEGINNG_7" localSheetId="0">GMIC_22A_SCDPT1!$K$7</definedName>
    <definedName name="SCDPT1_001BEGINNG_8" localSheetId="0">GMIC_22A_SCDPT1!$L$7</definedName>
    <definedName name="SCDPT1_001BEGINNG_9" localSheetId="0">GMIC_22A_SCDPT1!$M$7</definedName>
    <definedName name="SCDPT1_001ENDINGG_10" localSheetId="0">GMIC_22A_SCDPT1!$N$23</definedName>
    <definedName name="SCDPT1_001ENDINGG_11" localSheetId="0">GMIC_22A_SCDPT1!$O$23</definedName>
    <definedName name="SCDPT1_001ENDINGG_12" localSheetId="0">GMIC_22A_SCDPT1!$P$23</definedName>
    <definedName name="SCDPT1_001ENDINGG_13" localSheetId="0">GMIC_22A_SCDPT1!$Q$23</definedName>
    <definedName name="SCDPT1_001ENDINGG_14" localSheetId="0">GMIC_22A_SCDPT1!$R$23</definedName>
    <definedName name="SCDPT1_001ENDINGG_15" localSheetId="0">GMIC_22A_SCDPT1!$S$23</definedName>
    <definedName name="SCDPT1_001ENDINGG_16" localSheetId="0">GMIC_22A_SCDPT1!$T$23</definedName>
    <definedName name="SCDPT1_001ENDINGG_17" localSheetId="0">GMIC_22A_SCDPT1!$U$23</definedName>
    <definedName name="SCDPT1_001ENDINGG_18" localSheetId="0">GMIC_22A_SCDPT1!$V$23</definedName>
    <definedName name="SCDPT1_001ENDINGG_19" localSheetId="0">GMIC_22A_SCDPT1!$W$23</definedName>
    <definedName name="SCDPT1_001ENDINGG_2" localSheetId="0">GMIC_22A_SCDPT1!$D$23</definedName>
    <definedName name="SCDPT1_001ENDINGG_20" localSheetId="0">GMIC_22A_SCDPT1!$X$23</definedName>
    <definedName name="SCDPT1_001ENDINGG_21" localSheetId="0">GMIC_22A_SCDPT1!$Y$23</definedName>
    <definedName name="SCDPT1_001ENDINGG_22" localSheetId="0">GMIC_22A_SCDPT1!$Z$23</definedName>
    <definedName name="SCDPT1_001ENDINGG_23" localSheetId="0">GMIC_22A_SCDPT1!$AA$23</definedName>
    <definedName name="SCDPT1_001ENDINGG_24" localSheetId="0">GMIC_22A_SCDPT1!$AB$23</definedName>
    <definedName name="SCDPT1_001ENDINGG_25" localSheetId="0">GMIC_22A_SCDPT1!$AC$23</definedName>
    <definedName name="SCDPT1_001ENDINGG_26" localSheetId="0">GMIC_22A_SCDPT1!$AD$23</definedName>
    <definedName name="SCDPT1_001ENDINGG_27" localSheetId="0">GMIC_22A_SCDPT1!$AE$23</definedName>
    <definedName name="SCDPT1_001ENDINGG_28" localSheetId="0">GMIC_22A_SCDPT1!$AF$23</definedName>
    <definedName name="SCDPT1_001ENDINGG_29" localSheetId="0">GMIC_22A_SCDPT1!$AG$23</definedName>
    <definedName name="SCDPT1_001ENDINGG_3" localSheetId="0">GMIC_22A_SCDPT1!$E$23</definedName>
    <definedName name="SCDPT1_001ENDINGG_30" localSheetId="0">GMIC_22A_SCDPT1!$AH$23</definedName>
    <definedName name="SCDPT1_001ENDINGG_31" localSheetId="0">GMIC_22A_SCDPT1!$AI$23</definedName>
    <definedName name="SCDPT1_001ENDINGG_32" localSheetId="0">GMIC_22A_SCDPT1!$AJ$23</definedName>
    <definedName name="SCDPT1_001ENDINGG_33" localSheetId="0">GMIC_22A_SCDPT1!$AK$23</definedName>
    <definedName name="SCDPT1_001ENDINGG_34" localSheetId="0">GMIC_22A_SCDPT1!$AL$23</definedName>
    <definedName name="SCDPT1_001ENDINGG_35" localSheetId="0">GMIC_22A_SCDPT1!$AM$23</definedName>
    <definedName name="SCDPT1_001ENDINGG_36" localSheetId="0">GMIC_22A_SCDPT1!$AN$23</definedName>
    <definedName name="SCDPT1_001ENDINGG_4" localSheetId="0">GMIC_22A_SCDPT1!$F$23</definedName>
    <definedName name="SCDPT1_001ENDINGG_5" localSheetId="0">GMIC_22A_SCDPT1!$G$23</definedName>
    <definedName name="SCDPT1_001ENDINGG_6.01" localSheetId="0">GMIC_22A_SCDPT1!$H$23</definedName>
    <definedName name="SCDPT1_001ENDINGG_6.02" localSheetId="0">GMIC_22A_SCDPT1!$I$23</definedName>
    <definedName name="SCDPT1_001ENDINGG_6.03" localSheetId="0">GMIC_22A_SCDPT1!$J$23</definedName>
    <definedName name="SCDPT1_001ENDINGG_7" localSheetId="0">GMIC_22A_SCDPT1!$K$23</definedName>
    <definedName name="SCDPT1_001ENDINGG_8" localSheetId="0">GMIC_22A_SCDPT1!$L$23</definedName>
    <definedName name="SCDPT1_001ENDINGG_9" localSheetId="0">GMIC_22A_SCDPT1!$M$23</definedName>
    <definedName name="SCDPT1_0020000000_Range" localSheetId="0">GMIC_22A_SCDPT1!$B$25:$AN$27</definedName>
    <definedName name="SCDPT1_0029999999_10" localSheetId="0">GMIC_22A_SCDPT1!$N$28</definedName>
    <definedName name="SCDPT1_0029999999_11" localSheetId="0">GMIC_22A_SCDPT1!$O$28</definedName>
    <definedName name="SCDPT1_0029999999_12" localSheetId="0">GMIC_22A_SCDPT1!$P$28</definedName>
    <definedName name="SCDPT1_0029999999_13" localSheetId="0">GMIC_22A_SCDPT1!$Q$28</definedName>
    <definedName name="SCDPT1_0029999999_14" localSheetId="0">GMIC_22A_SCDPT1!$R$28</definedName>
    <definedName name="SCDPT1_0029999999_15" localSheetId="0">GMIC_22A_SCDPT1!$S$28</definedName>
    <definedName name="SCDPT1_0029999999_19" localSheetId="0">GMIC_22A_SCDPT1!$W$28</definedName>
    <definedName name="SCDPT1_0029999999_20" localSheetId="0">GMIC_22A_SCDPT1!$X$28</definedName>
    <definedName name="SCDPT1_0029999999_7" localSheetId="0">GMIC_22A_SCDPT1!$K$28</definedName>
    <definedName name="SCDPT1_0029999999_9" localSheetId="0">GMIC_22A_SCDPT1!$M$28</definedName>
    <definedName name="SCDPT1_002BEGINNG_1" localSheetId="0">GMIC_22A_SCDPT1!$C$25</definedName>
    <definedName name="SCDPT1_002BEGINNG_10" localSheetId="0">GMIC_22A_SCDPT1!$N$25</definedName>
    <definedName name="SCDPT1_002BEGINNG_11" localSheetId="0">GMIC_22A_SCDPT1!$O$25</definedName>
    <definedName name="SCDPT1_002BEGINNG_12" localSheetId="0">GMIC_22A_SCDPT1!$P$25</definedName>
    <definedName name="SCDPT1_002BEGINNG_13" localSheetId="0">GMIC_22A_SCDPT1!$Q$25</definedName>
    <definedName name="SCDPT1_002BEGINNG_14" localSheetId="0">GMIC_22A_SCDPT1!$R$25</definedName>
    <definedName name="SCDPT1_002BEGINNG_15" localSheetId="0">GMIC_22A_SCDPT1!$S$25</definedName>
    <definedName name="SCDPT1_002BEGINNG_16" localSheetId="0">GMIC_22A_SCDPT1!$T$25</definedName>
    <definedName name="SCDPT1_002BEGINNG_17" localSheetId="0">GMIC_22A_SCDPT1!$U$25</definedName>
    <definedName name="SCDPT1_002BEGINNG_18" localSheetId="0">GMIC_22A_SCDPT1!$V$25</definedName>
    <definedName name="SCDPT1_002BEGINNG_19" localSheetId="0">GMIC_22A_SCDPT1!$W$25</definedName>
    <definedName name="SCDPT1_002BEGINNG_2" localSheetId="0">GMIC_22A_SCDPT1!$D$25</definedName>
    <definedName name="SCDPT1_002BEGINNG_20" localSheetId="0">GMIC_22A_SCDPT1!$X$25</definedName>
    <definedName name="SCDPT1_002BEGINNG_21" localSheetId="0">GMIC_22A_SCDPT1!$Y$25</definedName>
    <definedName name="SCDPT1_002BEGINNG_22" localSheetId="0">GMIC_22A_SCDPT1!$Z$25</definedName>
    <definedName name="SCDPT1_002BEGINNG_23" localSheetId="0">GMIC_22A_SCDPT1!$AA$25</definedName>
    <definedName name="SCDPT1_002BEGINNG_24" localSheetId="0">GMIC_22A_SCDPT1!$AB$25</definedName>
    <definedName name="SCDPT1_002BEGINNG_25" localSheetId="0">GMIC_22A_SCDPT1!$AC$25</definedName>
    <definedName name="SCDPT1_002BEGINNG_26" localSheetId="0">GMIC_22A_SCDPT1!$AD$25</definedName>
    <definedName name="SCDPT1_002BEGINNG_27" localSheetId="0">GMIC_22A_SCDPT1!$AE$25</definedName>
    <definedName name="SCDPT1_002BEGINNG_28" localSheetId="0">GMIC_22A_SCDPT1!$AF$25</definedName>
    <definedName name="SCDPT1_002BEGINNG_29" localSheetId="0">GMIC_22A_SCDPT1!$AG$25</definedName>
    <definedName name="SCDPT1_002BEGINNG_3" localSheetId="0">GMIC_22A_SCDPT1!$E$25</definedName>
    <definedName name="SCDPT1_002BEGINNG_30" localSheetId="0">GMIC_22A_SCDPT1!$AH$25</definedName>
    <definedName name="SCDPT1_002BEGINNG_31" localSheetId="0">GMIC_22A_SCDPT1!$AI$25</definedName>
    <definedName name="SCDPT1_002BEGINNG_32" localSheetId="0">GMIC_22A_SCDPT1!$AJ$25</definedName>
    <definedName name="SCDPT1_002BEGINNG_33" localSheetId="0">GMIC_22A_SCDPT1!$AK$25</definedName>
    <definedName name="SCDPT1_002BEGINNG_34" localSheetId="0">GMIC_22A_SCDPT1!$AL$25</definedName>
    <definedName name="SCDPT1_002BEGINNG_35" localSheetId="0">GMIC_22A_SCDPT1!$AM$25</definedName>
    <definedName name="SCDPT1_002BEGINNG_36" localSheetId="0">GMIC_22A_SCDPT1!$AN$25</definedName>
    <definedName name="SCDPT1_002BEGINNG_4" localSheetId="0">GMIC_22A_SCDPT1!$F$25</definedName>
    <definedName name="SCDPT1_002BEGINNG_5" localSheetId="0">GMIC_22A_SCDPT1!$G$25</definedName>
    <definedName name="SCDPT1_002BEGINNG_6.01" localSheetId="0">GMIC_22A_SCDPT1!$H$25</definedName>
    <definedName name="SCDPT1_002BEGINNG_6.02" localSheetId="0">GMIC_22A_SCDPT1!$I$25</definedName>
    <definedName name="SCDPT1_002BEGINNG_6.03" localSheetId="0">GMIC_22A_SCDPT1!$J$25</definedName>
    <definedName name="SCDPT1_002BEGINNG_7" localSheetId="0">GMIC_22A_SCDPT1!$K$25</definedName>
    <definedName name="SCDPT1_002BEGINNG_8" localSheetId="0">GMIC_22A_SCDPT1!$L$25</definedName>
    <definedName name="SCDPT1_002BEGINNG_9" localSheetId="0">GMIC_22A_SCDPT1!$M$25</definedName>
    <definedName name="SCDPT1_002ENDINGG_10" localSheetId="0">GMIC_22A_SCDPT1!$N$27</definedName>
    <definedName name="SCDPT1_002ENDINGG_11" localSheetId="0">GMIC_22A_SCDPT1!$O$27</definedName>
    <definedName name="SCDPT1_002ENDINGG_12" localSheetId="0">GMIC_22A_SCDPT1!$P$27</definedName>
    <definedName name="SCDPT1_002ENDINGG_13" localSheetId="0">GMIC_22A_SCDPT1!$Q$27</definedName>
    <definedName name="SCDPT1_002ENDINGG_14" localSheetId="0">GMIC_22A_SCDPT1!$R$27</definedName>
    <definedName name="SCDPT1_002ENDINGG_15" localSheetId="0">GMIC_22A_SCDPT1!$S$27</definedName>
    <definedName name="SCDPT1_002ENDINGG_16" localSheetId="0">GMIC_22A_SCDPT1!$T$27</definedName>
    <definedName name="SCDPT1_002ENDINGG_17" localSheetId="0">GMIC_22A_SCDPT1!$U$27</definedName>
    <definedName name="SCDPT1_002ENDINGG_18" localSheetId="0">GMIC_22A_SCDPT1!$V$27</definedName>
    <definedName name="SCDPT1_002ENDINGG_19" localSheetId="0">GMIC_22A_SCDPT1!$W$27</definedName>
    <definedName name="SCDPT1_002ENDINGG_2" localSheetId="0">GMIC_22A_SCDPT1!$D$27</definedName>
    <definedName name="SCDPT1_002ENDINGG_20" localSheetId="0">GMIC_22A_SCDPT1!$X$27</definedName>
    <definedName name="SCDPT1_002ENDINGG_21" localSheetId="0">GMIC_22A_SCDPT1!$Y$27</definedName>
    <definedName name="SCDPT1_002ENDINGG_22" localSheetId="0">GMIC_22A_SCDPT1!$Z$27</definedName>
    <definedName name="SCDPT1_002ENDINGG_23" localSheetId="0">GMIC_22A_SCDPT1!$AA$27</definedName>
    <definedName name="SCDPT1_002ENDINGG_24" localSheetId="0">GMIC_22A_SCDPT1!$AB$27</definedName>
    <definedName name="SCDPT1_002ENDINGG_25" localSheetId="0">GMIC_22A_SCDPT1!$AC$27</definedName>
    <definedName name="SCDPT1_002ENDINGG_26" localSheetId="0">GMIC_22A_SCDPT1!$AD$27</definedName>
    <definedName name="SCDPT1_002ENDINGG_27" localSheetId="0">GMIC_22A_SCDPT1!$AE$27</definedName>
    <definedName name="SCDPT1_002ENDINGG_28" localSheetId="0">GMIC_22A_SCDPT1!$AF$27</definedName>
    <definedName name="SCDPT1_002ENDINGG_29" localSheetId="0">GMIC_22A_SCDPT1!$AG$27</definedName>
    <definedName name="SCDPT1_002ENDINGG_3" localSheetId="0">GMIC_22A_SCDPT1!$E$27</definedName>
    <definedName name="SCDPT1_002ENDINGG_30" localSheetId="0">GMIC_22A_SCDPT1!$AH$27</definedName>
    <definedName name="SCDPT1_002ENDINGG_31" localSheetId="0">GMIC_22A_SCDPT1!$AI$27</definedName>
    <definedName name="SCDPT1_002ENDINGG_32" localSheetId="0">GMIC_22A_SCDPT1!$AJ$27</definedName>
    <definedName name="SCDPT1_002ENDINGG_33" localSheetId="0">GMIC_22A_SCDPT1!$AK$27</definedName>
    <definedName name="SCDPT1_002ENDINGG_34" localSheetId="0">GMIC_22A_SCDPT1!$AL$27</definedName>
    <definedName name="SCDPT1_002ENDINGG_35" localSheetId="0">GMIC_22A_SCDPT1!$AM$27</definedName>
    <definedName name="SCDPT1_002ENDINGG_36" localSheetId="0">GMIC_22A_SCDPT1!$AN$27</definedName>
    <definedName name="SCDPT1_002ENDINGG_4" localSheetId="0">GMIC_22A_SCDPT1!$F$27</definedName>
    <definedName name="SCDPT1_002ENDINGG_5" localSheetId="0">GMIC_22A_SCDPT1!$G$27</definedName>
    <definedName name="SCDPT1_002ENDINGG_6.01" localSheetId="0">GMIC_22A_SCDPT1!$H$27</definedName>
    <definedName name="SCDPT1_002ENDINGG_6.02" localSheetId="0">GMIC_22A_SCDPT1!$I$27</definedName>
    <definedName name="SCDPT1_002ENDINGG_6.03" localSheetId="0">GMIC_22A_SCDPT1!$J$27</definedName>
    <definedName name="SCDPT1_002ENDINGG_7" localSheetId="0">GMIC_22A_SCDPT1!$K$27</definedName>
    <definedName name="SCDPT1_002ENDINGG_8" localSheetId="0">GMIC_22A_SCDPT1!$L$27</definedName>
    <definedName name="SCDPT1_002ENDINGG_9" localSheetId="0">GMIC_22A_SCDPT1!$M$27</definedName>
    <definedName name="SCDPT1_0030000000_Range" localSheetId="0">GMIC_22A_SCDPT1!$B$29:$AN$31</definedName>
    <definedName name="SCDPT1_0039999999_10" localSheetId="0">GMIC_22A_SCDPT1!$N$32</definedName>
    <definedName name="SCDPT1_0039999999_11" localSheetId="0">GMIC_22A_SCDPT1!$O$32</definedName>
    <definedName name="SCDPT1_0039999999_12" localSheetId="0">GMIC_22A_SCDPT1!$P$32</definedName>
    <definedName name="SCDPT1_0039999999_13" localSheetId="0">GMIC_22A_SCDPT1!$Q$32</definedName>
    <definedName name="SCDPT1_0039999999_14" localSheetId="0">GMIC_22A_SCDPT1!$R$32</definedName>
    <definedName name="SCDPT1_0039999999_15" localSheetId="0">GMIC_22A_SCDPT1!$S$32</definedName>
    <definedName name="SCDPT1_0039999999_19" localSheetId="0">GMIC_22A_SCDPT1!$W$32</definedName>
    <definedName name="SCDPT1_0039999999_20" localSheetId="0">GMIC_22A_SCDPT1!$X$32</definedName>
    <definedName name="SCDPT1_0039999999_7" localSheetId="0">GMIC_22A_SCDPT1!$K$32</definedName>
    <definedName name="SCDPT1_0039999999_9" localSheetId="0">GMIC_22A_SCDPT1!$M$32</definedName>
    <definedName name="SCDPT1_003BEGINNG_1" localSheetId="0">GMIC_22A_SCDPT1!$C$29</definedName>
    <definedName name="SCDPT1_003BEGINNG_10" localSheetId="0">GMIC_22A_SCDPT1!$N$29</definedName>
    <definedName name="SCDPT1_003BEGINNG_11" localSheetId="0">GMIC_22A_SCDPT1!$O$29</definedName>
    <definedName name="SCDPT1_003BEGINNG_12" localSheetId="0">GMIC_22A_SCDPT1!$P$29</definedName>
    <definedName name="SCDPT1_003BEGINNG_13" localSheetId="0">GMIC_22A_SCDPT1!$Q$29</definedName>
    <definedName name="SCDPT1_003BEGINNG_14" localSheetId="0">GMIC_22A_SCDPT1!$R$29</definedName>
    <definedName name="SCDPT1_003BEGINNG_15" localSheetId="0">GMIC_22A_SCDPT1!$S$29</definedName>
    <definedName name="SCDPT1_003BEGINNG_16" localSheetId="0">GMIC_22A_SCDPT1!$T$29</definedName>
    <definedName name="SCDPT1_003BEGINNG_17" localSheetId="0">GMIC_22A_SCDPT1!$U$29</definedName>
    <definedName name="SCDPT1_003BEGINNG_18" localSheetId="0">GMIC_22A_SCDPT1!$V$29</definedName>
    <definedName name="SCDPT1_003BEGINNG_19" localSheetId="0">GMIC_22A_SCDPT1!$W$29</definedName>
    <definedName name="SCDPT1_003BEGINNG_2" localSheetId="0">GMIC_22A_SCDPT1!$D$29</definedName>
    <definedName name="SCDPT1_003BEGINNG_20" localSheetId="0">GMIC_22A_SCDPT1!$X$29</definedName>
    <definedName name="SCDPT1_003BEGINNG_21" localSheetId="0">GMIC_22A_SCDPT1!$Y$29</definedName>
    <definedName name="SCDPT1_003BEGINNG_22" localSheetId="0">GMIC_22A_SCDPT1!$Z$29</definedName>
    <definedName name="SCDPT1_003BEGINNG_23" localSheetId="0">GMIC_22A_SCDPT1!$AA$29</definedName>
    <definedName name="SCDPT1_003BEGINNG_24" localSheetId="0">GMIC_22A_SCDPT1!$AB$29</definedName>
    <definedName name="SCDPT1_003BEGINNG_25" localSheetId="0">GMIC_22A_SCDPT1!$AC$29</definedName>
    <definedName name="SCDPT1_003BEGINNG_26" localSheetId="0">GMIC_22A_SCDPT1!$AD$29</definedName>
    <definedName name="SCDPT1_003BEGINNG_27" localSheetId="0">GMIC_22A_SCDPT1!$AE$29</definedName>
    <definedName name="SCDPT1_003BEGINNG_28" localSheetId="0">GMIC_22A_SCDPT1!$AF$29</definedName>
    <definedName name="SCDPT1_003BEGINNG_29" localSheetId="0">GMIC_22A_SCDPT1!$AG$29</definedName>
    <definedName name="SCDPT1_003BEGINNG_3" localSheetId="0">GMIC_22A_SCDPT1!$E$29</definedName>
    <definedName name="SCDPT1_003BEGINNG_30" localSheetId="0">GMIC_22A_SCDPT1!$AH$29</definedName>
    <definedName name="SCDPT1_003BEGINNG_31" localSheetId="0">GMIC_22A_SCDPT1!$AI$29</definedName>
    <definedName name="SCDPT1_003BEGINNG_32" localSheetId="0">GMIC_22A_SCDPT1!$AJ$29</definedName>
    <definedName name="SCDPT1_003BEGINNG_33" localSheetId="0">GMIC_22A_SCDPT1!$AK$29</definedName>
    <definedName name="SCDPT1_003BEGINNG_34" localSheetId="0">GMIC_22A_SCDPT1!$AL$29</definedName>
    <definedName name="SCDPT1_003BEGINNG_35" localSheetId="0">GMIC_22A_SCDPT1!$AM$29</definedName>
    <definedName name="SCDPT1_003BEGINNG_36" localSheetId="0">GMIC_22A_SCDPT1!$AN$29</definedName>
    <definedName name="SCDPT1_003BEGINNG_4" localSheetId="0">GMIC_22A_SCDPT1!$F$29</definedName>
    <definedName name="SCDPT1_003BEGINNG_5" localSheetId="0">GMIC_22A_SCDPT1!$G$29</definedName>
    <definedName name="SCDPT1_003BEGINNG_6.01" localSheetId="0">GMIC_22A_SCDPT1!$H$29</definedName>
    <definedName name="SCDPT1_003BEGINNG_6.02" localSheetId="0">GMIC_22A_SCDPT1!$I$29</definedName>
    <definedName name="SCDPT1_003BEGINNG_6.03" localSheetId="0">GMIC_22A_SCDPT1!$J$29</definedName>
    <definedName name="SCDPT1_003BEGINNG_7" localSheetId="0">GMIC_22A_SCDPT1!$K$29</definedName>
    <definedName name="SCDPT1_003BEGINNG_8" localSheetId="0">GMIC_22A_SCDPT1!$L$29</definedName>
    <definedName name="SCDPT1_003BEGINNG_9" localSheetId="0">GMIC_22A_SCDPT1!$M$29</definedName>
    <definedName name="SCDPT1_003ENDINGG_10" localSheetId="0">GMIC_22A_SCDPT1!$N$31</definedName>
    <definedName name="SCDPT1_003ENDINGG_11" localSheetId="0">GMIC_22A_SCDPT1!$O$31</definedName>
    <definedName name="SCDPT1_003ENDINGG_12" localSheetId="0">GMIC_22A_SCDPT1!$P$31</definedName>
    <definedName name="SCDPT1_003ENDINGG_13" localSheetId="0">GMIC_22A_SCDPT1!$Q$31</definedName>
    <definedName name="SCDPT1_003ENDINGG_14" localSheetId="0">GMIC_22A_SCDPT1!$R$31</definedName>
    <definedName name="SCDPT1_003ENDINGG_15" localSheetId="0">GMIC_22A_SCDPT1!$S$31</definedName>
    <definedName name="SCDPT1_003ENDINGG_16" localSheetId="0">GMIC_22A_SCDPT1!$T$31</definedName>
    <definedName name="SCDPT1_003ENDINGG_17" localSheetId="0">GMIC_22A_SCDPT1!$U$31</definedName>
    <definedName name="SCDPT1_003ENDINGG_18" localSheetId="0">GMIC_22A_SCDPT1!$V$31</definedName>
    <definedName name="SCDPT1_003ENDINGG_19" localSheetId="0">GMIC_22A_SCDPT1!$W$31</definedName>
    <definedName name="SCDPT1_003ENDINGG_2" localSheetId="0">GMIC_22A_SCDPT1!$D$31</definedName>
    <definedName name="SCDPT1_003ENDINGG_20" localSheetId="0">GMIC_22A_SCDPT1!$X$31</definedName>
    <definedName name="SCDPT1_003ENDINGG_21" localSheetId="0">GMIC_22A_SCDPT1!$Y$31</definedName>
    <definedName name="SCDPT1_003ENDINGG_22" localSheetId="0">GMIC_22A_SCDPT1!$Z$31</definedName>
    <definedName name="SCDPT1_003ENDINGG_23" localSheetId="0">GMIC_22A_SCDPT1!$AA$31</definedName>
    <definedName name="SCDPT1_003ENDINGG_24" localSheetId="0">GMIC_22A_SCDPT1!$AB$31</definedName>
    <definedName name="SCDPT1_003ENDINGG_25" localSheetId="0">GMIC_22A_SCDPT1!$AC$31</definedName>
    <definedName name="SCDPT1_003ENDINGG_26" localSheetId="0">GMIC_22A_SCDPT1!$AD$31</definedName>
    <definedName name="SCDPT1_003ENDINGG_27" localSheetId="0">GMIC_22A_SCDPT1!$AE$31</definedName>
    <definedName name="SCDPT1_003ENDINGG_28" localSheetId="0">GMIC_22A_SCDPT1!$AF$31</definedName>
    <definedName name="SCDPT1_003ENDINGG_29" localSheetId="0">GMIC_22A_SCDPT1!$AG$31</definedName>
    <definedName name="SCDPT1_003ENDINGG_3" localSheetId="0">GMIC_22A_SCDPT1!$E$31</definedName>
    <definedName name="SCDPT1_003ENDINGG_30" localSheetId="0">GMIC_22A_SCDPT1!$AH$31</definedName>
    <definedName name="SCDPT1_003ENDINGG_31" localSheetId="0">GMIC_22A_SCDPT1!$AI$31</definedName>
    <definedName name="SCDPT1_003ENDINGG_32" localSheetId="0">GMIC_22A_SCDPT1!$AJ$31</definedName>
    <definedName name="SCDPT1_003ENDINGG_33" localSheetId="0">GMIC_22A_SCDPT1!$AK$31</definedName>
    <definedName name="SCDPT1_003ENDINGG_34" localSheetId="0">GMIC_22A_SCDPT1!$AL$31</definedName>
    <definedName name="SCDPT1_003ENDINGG_35" localSheetId="0">GMIC_22A_SCDPT1!$AM$31</definedName>
    <definedName name="SCDPT1_003ENDINGG_36" localSheetId="0">GMIC_22A_SCDPT1!$AN$31</definedName>
    <definedName name="SCDPT1_003ENDINGG_4" localSheetId="0">GMIC_22A_SCDPT1!$F$31</definedName>
    <definedName name="SCDPT1_003ENDINGG_5" localSheetId="0">GMIC_22A_SCDPT1!$G$31</definedName>
    <definedName name="SCDPT1_003ENDINGG_6.01" localSheetId="0">GMIC_22A_SCDPT1!$H$31</definedName>
    <definedName name="SCDPT1_003ENDINGG_6.02" localSheetId="0">GMIC_22A_SCDPT1!$I$31</definedName>
    <definedName name="SCDPT1_003ENDINGG_6.03" localSheetId="0">GMIC_22A_SCDPT1!$J$31</definedName>
    <definedName name="SCDPT1_003ENDINGG_7" localSheetId="0">GMIC_22A_SCDPT1!$K$31</definedName>
    <definedName name="SCDPT1_003ENDINGG_8" localSheetId="0">GMIC_22A_SCDPT1!$L$31</definedName>
    <definedName name="SCDPT1_003ENDINGG_9" localSheetId="0">GMIC_22A_SCDPT1!$M$31</definedName>
    <definedName name="SCDPT1_0040000000_Range" localSheetId="0">GMIC_22A_SCDPT1!$B$33:$AN$35</definedName>
    <definedName name="SCDPT1_0049999999_10" localSheetId="0">GMIC_22A_SCDPT1!$N$36</definedName>
    <definedName name="SCDPT1_0049999999_11" localSheetId="0">GMIC_22A_SCDPT1!$O$36</definedName>
    <definedName name="SCDPT1_0049999999_12" localSheetId="0">GMIC_22A_SCDPT1!$P$36</definedName>
    <definedName name="SCDPT1_0049999999_13" localSheetId="0">GMIC_22A_SCDPT1!$Q$36</definedName>
    <definedName name="SCDPT1_0049999999_14" localSheetId="0">GMIC_22A_SCDPT1!$R$36</definedName>
    <definedName name="SCDPT1_0049999999_15" localSheetId="0">GMIC_22A_SCDPT1!$S$36</definedName>
    <definedName name="SCDPT1_0049999999_19" localSheetId="0">GMIC_22A_SCDPT1!$W$36</definedName>
    <definedName name="SCDPT1_0049999999_20" localSheetId="0">GMIC_22A_SCDPT1!$X$36</definedName>
    <definedName name="SCDPT1_0049999999_7" localSheetId="0">GMIC_22A_SCDPT1!$K$36</definedName>
    <definedName name="SCDPT1_0049999999_9" localSheetId="0">GMIC_22A_SCDPT1!$M$36</definedName>
    <definedName name="SCDPT1_004BEGINNG_1" localSheetId="0">GMIC_22A_SCDPT1!$C$33</definedName>
    <definedName name="SCDPT1_004BEGINNG_10" localSheetId="0">GMIC_22A_SCDPT1!$N$33</definedName>
    <definedName name="SCDPT1_004BEGINNG_11" localSheetId="0">GMIC_22A_SCDPT1!$O$33</definedName>
    <definedName name="SCDPT1_004BEGINNG_12" localSheetId="0">GMIC_22A_SCDPT1!$P$33</definedName>
    <definedName name="SCDPT1_004BEGINNG_13" localSheetId="0">GMIC_22A_SCDPT1!$Q$33</definedName>
    <definedName name="SCDPT1_004BEGINNG_14" localSheetId="0">GMIC_22A_SCDPT1!$R$33</definedName>
    <definedName name="SCDPT1_004BEGINNG_15" localSheetId="0">GMIC_22A_SCDPT1!$S$33</definedName>
    <definedName name="SCDPT1_004BEGINNG_16" localSheetId="0">GMIC_22A_SCDPT1!$T$33</definedName>
    <definedName name="SCDPT1_004BEGINNG_17" localSheetId="0">GMIC_22A_SCDPT1!$U$33</definedName>
    <definedName name="SCDPT1_004BEGINNG_18" localSheetId="0">GMIC_22A_SCDPT1!$V$33</definedName>
    <definedName name="SCDPT1_004BEGINNG_19" localSheetId="0">GMIC_22A_SCDPT1!$W$33</definedName>
    <definedName name="SCDPT1_004BEGINNG_2" localSheetId="0">GMIC_22A_SCDPT1!$D$33</definedName>
    <definedName name="SCDPT1_004BEGINNG_20" localSheetId="0">GMIC_22A_SCDPT1!$X$33</definedName>
    <definedName name="SCDPT1_004BEGINNG_21" localSheetId="0">GMIC_22A_SCDPT1!$Y$33</definedName>
    <definedName name="SCDPT1_004BEGINNG_22" localSheetId="0">GMIC_22A_SCDPT1!$Z$33</definedName>
    <definedName name="SCDPT1_004BEGINNG_23" localSheetId="0">GMIC_22A_SCDPT1!$AA$33</definedName>
    <definedName name="SCDPT1_004BEGINNG_24" localSheetId="0">GMIC_22A_SCDPT1!$AB$33</definedName>
    <definedName name="SCDPT1_004BEGINNG_25" localSheetId="0">GMIC_22A_SCDPT1!$AC$33</definedName>
    <definedName name="SCDPT1_004BEGINNG_26" localSheetId="0">GMIC_22A_SCDPT1!$AD$33</definedName>
    <definedName name="SCDPT1_004BEGINNG_27" localSheetId="0">GMIC_22A_SCDPT1!$AE$33</definedName>
    <definedName name="SCDPT1_004BEGINNG_28" localSheetId="0">GMIC_22A_SCDPT1!$AF$33</definedName>
    <definedName name="SCDPT1_004BEGINNG_29" localSheetId="0">GMIC_22A_SCDPT1!$AG$33</definedName>
    <definedName name="SCDPT1_004BEGINNG_3" localSheetId="0">GMIC_22A_SCDPT1!$E$33</definedName>
    <definedName name="SCDPT1_004BEGINNG_30" localSheetId="0">GMIC_22A_SCDPT1!$AH$33</definedName>
    <definedName name="SCDPT1_004BEGINNG_31" localSheetId="0">GMIC_22A_SCDPT1!$AI$33</definedName>
    <definedName name="SCDPT1_004BEGINNG_32" localSheetId="0">GMIC_22A_SCDPT1!$AJ$33</definedName>
    <definedName name="SCDPT1_004BEGINNG_33" localSheetId="0">GMIC_22A_SCDPT1!$AK$33</definedName>
    <definedName name="SCDPT1_004BEGINNG_34" localSheetId="0">GMIC_22A_SCDPT1!$AL$33</definedName>
    <definedName name="SCDPT1_004BEGINNG_35" localSheetId="0">GMIC_22A_SCDPT1!$AM$33</definedName>
    <definedName name="SCDPT1_004BEGINNG_36" localSheetId="0">GMIC_22A_SCDPT1!$AN$33</definedName>
    <definedName name="SCDPT1_004BEGINNG_4" localSheetId="0">GMIC_22A_SCDPT1!$F$33</definedName>
    <definedName name="SCDPT1_004BEGINNG_5" localSheetId="0">GMIC_22A_SCDPT1!$G$33</definedName>
    <definedName name="SCDPT1_004BEGINNG_6.01" localSheetId="0">GMIC_22A_SCDPT1!$H$33</definedName>
    <definedName name="SCDPT1_004BEGINNG_6.02" localSheetId="0">GMIC_22A_SCDPT1!$I$33</definedName>
    <definedName name="SCDPT1_004BEGINNG_6.03" localSheetId="0">GMIC_22A_SCDPT1!$J$33</definedName>
    <definedName name="SCDPT1_004BEGINNG_7" localSheetId="0">GMIC_22A_SCDPT1!$K$33</definedName>
    <definedName name="SCDPT1_004BEGINNG_8" localSheetId="0">GMIC_22A_SCDPT1!$L$33</definedName>
    <definedName name="SCDPT1_004BEGINNG_9" localSheetId="0">GMIC_22A_SCDPT1!$M$33</definedName>
    <definedName name="SCDPT1_004ENDINGG_10" localSheetId="0">GMIC_22A_SCDPT1!$N$35</definedName>
    <definedName name="SCDPT1_004ENDINGG_11" localSheetId="0">GMIC_22A_SCDPT1!$O$35</definedName>
    <definedName name="SCDPT1_004ENDINGG_12" localSheetId="0">GMIC_22A_SCDPT1!$P$35</definedName>
    <definedName name="SCDPT1_004ENDINGG_13" localSheetId="0">GMIC_22A_SCDPT1!$Q$35</definedName>
    <definedName name="SCDPT1_004ENDINGG_14" localSheetId="0">GMIC_22A_SCDPT1!$R$35</definedName>
    <definedName name="SCDPT1_004ENDINGG_15" localSheetId="0">GMIC_22A_SCDPT1!$S$35</definedName>
    <definedName name="SCDPT1_004ENDINGG_16" localSheetId="0">GMIC_22A_SCDPT1!$T$35</definedName>
    <definedName name="SCDPT1_004ENDINGG_17" localSheetId="0">GMIC_22A_SCDPT1!$U$35</definedName>
    <definedName name="SCDPT1_004ENDINGG_18" localSheetId="0">GMIC_22A_SCDPT1!$V$35</definedName>
    <definedName name="SCDPT1_004ENDINGG_19" localSheetId="0">GMIC_22A_SCDPT1!$W$35</definedName>
    <definedName name="SCDPT1_004ENDINGG_2" localSheetId="0">GMIC_22A_SCDPT1!$D$35</definedName>
    <definedName name="SCDPT1_004ENDINGG_20" localSheetId="0">GMIC_22A_SCDPT1!$X$35</definedName>
    <definedName name="SCDPT1_004ENDINGG_21" localSheetId="0">GMIC_22A_SCDPT1!$Y$35</definedName>
    <definedName name="SCDPT1_004ENDINGG_22" localSheetId="0">GMIC_22A_SCDPT1!$Z$35</definedName>
    <definedName name="SCDPT1_004ENDINGG_23" localSheetId="0">GMIC_22A_SCDPT1!$AA$35</definedName>
    <definedName name="SCDPT1_004ENDINGG_24" localSheetId="0">GMIC_22A_SCDPT1!$AB$35</definedName>
    <definedName name="SCDPT1_004ENDINGG_25" localSheetId="0">GMIC_22A_SCDPT1!$AC$35</definedName>
    <definedName name="SCDPT1_004ENDINGG_26" localSheetId="0">GMIC_22A_SCDPT1!$AD$35</definedName>
    <definedName name="SCDPT1_004ENDINGG_27" localSheetId="0">GMIC_22A_SCDPT1!$AE$35</definedName>
    <definedName name="SCDPT1_004ENDINGG_28" localSheetId="0">GMIC_22A_SCDPT1!$AF$35</definedName>
    <definedName name="SCDPT1_004ENDINGG_29" localSheetId="0">GMIC_22A_SCDPT1!$AG$35</definedName>
    <definedName name="SCDPT1_004ENDINGG_3" localSheetId="0">GMIC_22A_SCDPT1!$E$35</definedName>
    <definedName name="SCDPT1_004ENDINGG_30" localSheetId="0">GMIC_22A_SCDPT1!$AH$35</definedName>
    <definedName name="SCDPT1_004ENDINGG_31" localSheetId="0">GMIC_22A_SCDPT1!$AI$35</definedName>
    <definedName name="SCDPT1_004ENDINGG_32" localSheetId="0">GMIC_22A_SCDPT1!$AJ$35</definedName>
    <definedName name="SCDPT1_004ENDINGG_33" localSheetId="0">GMIC_22A_SCDPT1!$AK$35</definedName>
    <definedName name="SCDPT1_004ENDINGG_34" localSheetId="0">GMIC_22A_SCDPT1!$AL$35</definedName>
    <definedName name="SCDPT1_004ENDINGG_35" localSheetId="0">GMIC_22A_SCDPT1!$AM$35</definedName>
    <definedName name="SCDPT1_004ENDINGG_36" localSheetId="0">GMIC_22A_SCDPT1!$AN$35</definedName>
    <definedName name="SCDPT1_004ENDINGG_4" localSheetId="0">GMIC_22A_SCDPT1!$F$35</definedName>
    <definedName name="SCDPT1_004ENDINGG_5" localSheetId="0">GMIC_22A_SCDPT1!$G$35</definedName>
    <definedName name="SCDPT1_004ENDINGG_6.01" localSheetId="0">GMIC_22A_SCDPT1!$H$35</definedName>
    <definedName name="SCDPT1_004ENDINGG_6.02" localSheetId="0">GMIC_22A_SCDPT1!$I$35</definedName>
    <definedName name="SCDPT1_004ENDINGG_6.03" localSheetId="0">GMIC_22A_SCDPT1!$J$35</definedName>
    <definedName name="SCDPT1_004ENDINGG_7" localSheetId="0">GMIC_22A_SCDPT1!$K$35</definedName>
    <definedName name="SCDPT1_004ENDINGG_8" localSheetId="0">GMIC_22A_SCDPT1!$L$35</definedName>
    <definedName name="SCDPT1_004ENDINGG_9" localSheetId="0">GMIC_22A_SCDPT1!$M$35</definedName>
    <definedName name="SCDPT1_0109999999_10" localSheetId="0">GMIC_22A_SCDPT1!$N$37</definedName>
    <definedName name="SCDPT1_0109999999_11" localSheetId="0">GMIC_22A_SCDPT1!$O$37</definedName>
    <definedName name="SCDPT1_0109999999_12" localSheetId="0">GMIC_22A_SCDPT1!$P$37</definedName>
    <definedName name="SCDPT1_0109999999_13" localSheetId="0">GMIC_22A_SCDPT1!$Q$37</definedName>
    <definedName name="SCDPT1_0109999999_14" localSheetId="0">GMIC_22A_SCDPT1!$R$37</definedName>
    <definedName name="SCDPT1_0109999999_15" localSheetId="0">GMIC_22A_SCDPT1!$S$37</definedName>
    <definedName name="SCDPT1_0109999999_19" localSheetId="0">GMIC_22A_SCDPT1!$W$37</definedName>
    <definedName name="SCDPT1_0109999999_20" localSheetId="0">GMIC_22A_SCDPT1!$X$37</definedName>
    <definedName name="SCDPT1_0109999999_7" localSheetId="0">GMIC_22A_SCDPT1!$K$37</definedName>
    <definedName name="SCDPT1_0109999999_9" localSheetId="0">GMIC_22A_SCDPT1!$M$37</definedName>
    <definedName name="SCDPT1_0210000000_Range" localSheetId="0">GMIC_22A_SCDPT1!$B$38:$AN$40</definedName>
    <definedName name="SCDPT1_0219999999_10" localSheetId="0">GMIC_22A_SCDPT1!$N$41</definedName>
    <definedName name="SCDPT1_0219999999_11" localSheetId="0">GMIC_22A_SCDPT1!$O$41</definedName>
    <definedName name="SCDPT1_0219999999_12" localSheetId="0">GMIC_22A_SCDPT1!$P$41</definedName>
    <definedName name="SCDPT1_0219999999_13" localSheetId="0">GMIC_22A_SCDPT1!$Q$41</definedName>
    <definedName name="SCDPT1_0219999999_14" localSheetId="0">GMIC_22A_SCDPT1!$R$41</definedName>
    <definedName name="SCDPT1_0219999999_15" localSheetId="0">GMIC_22A_SCDPT1!$S$41</definedName>
    <definedName name="SCDPT1_0219999999_19" localSheetId="0">GMIC_22A_SCDPT1!$W$41</definedName>
    <definedName name="SCDPT1_0219999999_20" localSheetId="0">GMIC_22A_SCDPT1!$X$41</definedName>
    <definedName name="SCDPT1_0219999999_7" localSheetId="0">GMIC_22A_SCDPT1!$K$41</definedName>
    <definedName name="SCDPT1_0219999999_9" localSheetId="0">GMIC_22A_SCDPT1!$M$41</definedName>
    <definedName name="SCDPT1_021BEGINNG_1" localSheetId="0">GMIC_22A_SCDPT1!$C$38</definedName>
    <definedName name="SCDPT1_021BEGINNG_10" localSheetId="0">GMIC_22A_SCDPT1!$N$38</definedName>
    <definedName name="SCDPT1_021BEGINNG_11" localSheetId="0">GMIC_22A_SCDPT1!$O$38</definedName>
    <definedName name="SCDPT1_021BEGINNG_12" localSheetId="0">GMIC_22A_SCDPT1!$P$38</definedName>
    <definedName name="SCDPT1_021BEGINNG_13" localSheetId="0">GMIC_22A_SCDPT1!$Q$38</definedName>
    <definedName name="SCDPT1_021BEGINNG_14" localSheetId="0">GMIC_22A_SCDPT1!$R$38</definedName>
    <definedName name="SCDPT1_021BEGINNG_15" localSheetId="0">GMIC_22A_SCDPT1!$S$38</definedName>
    <definedName name="SCDPT1_021BEGINNG_16" localSheetId="0">GMIC_22A_SCDPT1!$T$38</definedName>
    <definedName name="SCDPT1_021BEGINNG_17" localSheetId="0">GMIC_22A_SCDPT1!$U$38</definedName>
    <definedName name="SCDPT1_021BEGINNG_18" localSheetId="0">GMIC_22A_SCDPT1!$V$38</definedName>
    <definedName name="SCDPT1_021BEGINNG_19" localSheetId="0">GMIC_22A_SCDPT1!$W$38</definedName>
    <definedName name="SCDPT1_021BEGINNG_2" localSheetId="0">GMIC_22A_SCDPT1!$D$38</definedName>
    <definedName name="SCDPT1_021BEGINNG_20" localSheetId="0">GMIC_22A_SCDPT1!$X$38</definedName>
    <definedName name="SCDPT1_021BEGINNG_21" localSheetId="0">GMIC_22A_SCDPT1!$Y$38</definedName>
    <definedName name="SCDPT1_021BEGINNG_22" localSheetId="0">GMIC_22A_SCDPT1!$Z$38</definedName>
    <definedName name="SCDPT1_021BEGINNG_23" localSheetId="0">GMIC_22A_SCDPT1!$AA$38</definedName>
    <definedName name="SCDPT1_021BEGINNG_24" localSheetId="0">GMIC_22A_SCDPT1!$AB$38</definedName>
    <definedName name="SCDPT1_021BEGINNG_25" localSheetId="0">GMIC_22A_SCDPT1!$AC$38</definedName>
    <definedName name="SCDPT1_021BEGINNG_26" localSheetId="0">GMIC_22A_SCDPT1!$AD$38</definedName>
    <definedName name="SCDPT1_021BEGINNG_27" localSheetId="0">GMIC_22A_SCDPT1!$AE$38</definedName>
    <definedName name="SCDPT1_021BEGINNG_28" localSheetId="0">GMIC_22A_SCDPT1!$AF$38</definedName>
    <definedName name="SCDPT1_021BEGINNG_29" localSheetId="0">GMIC_22A_SCDPT1!$AG$38</definedName>
    <definedName name="SCDPT1_021BEGINNG_3" localSheetId="0">GMIC_22A_SCDPT1!$E$38</definedName>
    <definedName name="SCDPT1_021BEGINNG_30" localSheetId="0">GMIC_22A_SCDPT1!$AH$38</definedName>
    <definedName name="SCDPT1_021BEGINNG_31" localSheetId="0">GMIC_22A_SCDPT1!$AI$38</definedName>
    <definedName name="SCDPT1_021BEGINNG_32" localSheetId="0">GMIC_22A_SCDPT1!$AJ$38</definedName>
    <definedName name="SCDPT1_021BEGINNG_33" localSheetId="0">GMIC_22A_SCDPT1!$AK$38</definedName>
    <definedName name="SCDPT1_021BEGINNG_34" localSheetId="0">GMIC_22A_SCDPT1!$AL$38</definedName>
    <definedName name="SCDPT1_021BEGINNG_35" localSheetId="0">GMIC_22A_SCDPT1!$AM$38</definedName>
    <definedName name="SCDPT1_021BEGINNG_36" localSheetId="0">GMIC_22A_SCDPT1!$AN$38</definedName>
    <definedName name="SCDPT1_021BEGINNG_4" localSheetId="0">GMIC_22A_SCDPT1!$F$38</definedName>
    <definedName name="SCDPT1_021BEGINNG_5" localSheetId="0">GMIC_22A_SCDPT1!$G$38</definedName>
    <definedName name="SCDPT1_021BEGINNG_6.01" localSheetId="0">GMIC_22A_SCDPT1!$H$38</definedName>
    <definedName name="SCDPT1_021BEGINNG_6.02" localSheetId="0">GMIC_22A_SCDPT1!$I$38</definedName>
    <definedName name="SCDPT1_021BEGINNG_6.03" localSheetId="0">GMIC_22A_SCDPT1!$J$38</definedName>
    <definedName name="SCDPT1_021BEGINNG_7" localSheetId="0">GMIC_22A_SCDPT1!$K$38</definedName>
    <definedName name="SCDPT1_021BEGINNG_8" localSheetId="0">GMIC_22A_SCDPT1!$L$38</definedName>
    <definedName name="SCDPT1_021BEGINNG_9" localSheetId="0">GMIC_22A_SCDPT1!$M$38</definedName>
    <definedName name="SCDPT1_021ENDINGG_10" localSheetId="0">GMIC_22A_SCDPT1!$N$40</definedName>
    <definedName name="SCDPT1_021ENDINGG_11" localSheetId="0">GMIC_22A_SCDPT1!$O$40</definedName>
    <definedName name="SCDPT1_021ENDINGG_12" localSheetId="0">GMIC_22A_SCDPT1!$P$40</definedName>
    <definedName name="SCDPT1_021ENDINGG_13" localSheetId="0">GMIC_22A_SCDPT1!$Q$40</definedName>
    <definedName name="SCDPT1_021ENDINGG_14" localSheetId="0">GMIC_22A_SCDPT1!$R$40</definedName>
    <definedName name="SCDPT1_021ENDINGG_15" localSheetId="0">GMIC_22A_SCDPT1!$S$40</definedName>
    <definedName name="SCDPT1_021ENDINGG_16" localSheetId="0">GMIC_22A_SCDPT1!$T$40</definedName>
    <definedName name="SCDPT1_021ENDINGG_17" localSheetId="0">GMIC_22A_SCDPT1!$U$40</definedName>
    <definedName name="SCDPT1_021ENDINGG_18" localSheetId="0">GMIC_22A_SCDPT1!$V$40</definedName>
    <definedName name="SCDPT1_021ENDINGG_19" localSheetId="0">GMIC_22A_SCDPT1!$W$40</definedName>
    <definedName name="SCDPT1_021ENDINGG_2" localSheetId="0">GMIC_22A_SCDPT1!$D$40</definedName>
    <definedName name="SCDPT1_021ENDINGG_20" localSheetId="0">GMIC_22A_SCDPT1!$X$40</definedName>
    <definedName name="SCDPT1_021ENDINGG_21" localSheetId="0">GMIC_22A_SCDPT1!$Y$40</definedName>
    <definedName name="SCDPT1_021ENDINGG_22" localSheetId="0">GMIC_22A_SCDPT1!$Z$40</definedName>
    <definedName name="SCDPT1_021ENDINGG_23" localSheetId="0">GMIC_22A_SCDPT1!$AA$40</definedName>
    <definedName name="SCDPT1_021ENDINGG_24" localSheetId="0">GMIC_22A_SCDPT1!$AB$40</definedName>
    <definedName name="SCDPT1_021ENDINGG_25" localSheetId="0">GMIC_22A_SCDPT1!$AC$40</definedName>
    <definedName name="SCDPT1_021ENDINGG_26" localSheetId="0">GMIC_22A_SCDPT1!$AD$40</definedName>
    <definedName name="SCDPT1_021ENDINGG_27" localSheetId="0">GMIC_22A_SCDPT1!$AE$40</definedName>
    <definedName name="SCDPT1_021ENDINGG_28" localSheetId="0">GMIC_22A_SCDPT1!$AF$40</definedName>
    <definedName name="SCDPT1_021ENDINGG_29" localSheetId="0">GMIC_22A_SCDPT1!$AG$40</definedName>
    <definedName name="SCDPT1_021ENDINGG_3" localSheetId="0">GMIC_22A_SCDPT1!$E$40</definedName>
    <definedName name="SCDPT1_021ENDINGG_30" localSheetId="0">GMIC_22A_SCDPT1!$AH$40</definedName>
    <definedName name="SCDPT1_021ENDINGG_31" localSheetId="0">GMIC_22A_SCDPT1!$AI$40</definedName>
    <definedName name="SCDPT1_021ENDINGG_32" localSheetId="0">GMIC_22A_SCDPT1!$AJ$40</definedName>
    <definedName name="SCDPT1_021ENDINGG_33" localSheetId="0">GMIC_22A_SCDPT1!$AK$40</definedName>
    <definedName name="SCDPT1_021ENDINGG_34" localSheetId="0">GMIC_22A_SCDPT1!$AL$40</definedName>
    <definedName name="SCDPT1_021ENDINGG_35" localSheetId="0">GMIC_22A_SCDPT1!$AM$40</definedName>
    <definedName name="SCDPT1_021ENDINGG_36" localSheetId="0">GMIC_22A_SCDPT1!$AN$40</definedName>
    <definedName name="SCDPT1_021ENDINGG_4" localSheetId="0">GMIC_22A_SCDPT1!$F$40</definedName>
    <definedName name="SCDPT1_021ENDINGG_5" localSheetId="0">GMIC_22A_SCDPT1!$G$40</definedName>
    <definedName name="SCDPT1_021ENDINGG_6.01" localSheetId="0">GMIC_22A_SCDPT1!$H$40</definedName>
    <definedName name="SCDPT1_021ENDINGG_6.02" localSheetId="0">GMIC_22A_SCDPT1!$I$40</definedName>
    <definedName name="SCDPT1_021ENDINGG_6.03" localSheetId="0">GMIC_22A_SCDPT1!$J$40</definedName>
    <definedName name="SCDPT1_021ENDINGG_7" localSheetId="0">GMIC_22A_SCDPT1!$K$40</definedName>
    <definedName name="SCDPT1_021ENDINGG_8" localSheetId="0">GMIC_22A_SCDPT1!$L$40</definedName>
    <definedName name="SCDPT1_021ENDINGG_9" localSheetId="0">GMIC_22A_SCDPT1!$M$40</definedName>
    <definedName name="SCDPT1_0220000000_Range" localSheetId="0">GMIC_22A_SCDPT1!$B$42:$AN$44</definedName>
    <definedName name="SCDPT1_0229999999_10" localSheetId="0">GMIC_22A_SCDPT1!$N$45</definedName>
    <definedName name="SCDPT1_0229999999_11" localSheetId="0">GMIC_22A_SCDPT1!$O$45</definedName>
    <definedName name="SCDPT1_0229999999_12" localSheetId="0">GMIC_22A_SCDPT1!$P$45</definedName>
    <definedName name="SCDPT1_0229999999_13" localSheetId="0">GMIC_22A_SCDPT1!$Q$45</definedName>
    <definedName name="SCDPT1_0229999999_14" localSheetId="0">GMIC_22A_SCDPT1!$R$45</definedName>
    <definedName name="SCDPT1_0229999999_15" localSheetId="0">GMIC_22A_SCDPT1!$S$45</definedName>
    <definedName name="SCDPT1_0229999999_19" localSheetId="0">GMIC_22A_SCDPT1!$W$45</definedName>
    <definedName name="SCDPT1_0229999999_20" localSheetId="0">GMIC_22A_SCDPT1!$X$45</definedName>
    <definedName name="SCDPT1_0229999999_7" localSheetId="0">GMIC_22A_SCDPT1!$K$45</definedName>
    <definedName name="SCDPT1_0229999999_9" localSheetId="0">GMIC_22A_SCDPT1!$M$45</definedName>
    <definedName name="SCDPT1_022BEGINNG_1" localSheetId="0">GMIC_22A_SCDPT1!$C$42</definedName>
    <definedName name="SCDPT1_022BEGINNG_10" localSheetId="0">GMIC_22A_SCDPT1!$N$42</definedName>
    <definedName name="SCDPT1_022BEGINNG_11" localSheetId="0">GMIC_22A_SCDPT1!$O$42</definedName>
    <definedName name="SCDPT1_022BEGINNG_12" localSheetId="0">GMIC_22A_SCDPT1!$P$42</definedName>
    <definedName name="SCDPT1_022BEGINNG_13" localSheetId="0">GMIC_22A_SCDPT1!$Q$42</definedName>
    <definedName name="SCDPT1_022BEGINNG_14" localSheetId="0">GMIC_22A_SCDPT1!$R$42</definedName>
    <definedName name="SCDPT1_022BEGINNG_15" localSheetId="0">GMIC_22A_SCDPT1!$S$42</definedName>
    <definedName name="SCDPT1_022BEGINNG_16" localSheetId="0">GMIC_22A_SCDPT1!$T$42</definedName>
    <definedName name="SCDPT1_022BEGINNG_17" localSheetId="0">GMIC_22A_SCDPT1!$U$42</definedName>
    <definedName name="SCDPT1_022BEGINNG_18" localSheetId="0">GMIC_22A_SCDPT1!$V$42</definedName>
    <definedName name="SCDPT1_022BEGINNG_19" localSheetId="0">GMIC_22A_SCDPT1!$W$42</definedName>
    <definedName name="SCDPT1_022BEGINNG_2" localSheetId="0">GMIC_22A_SCDPT1!$D$42</definedName>
    <definedName name="SCDPT1_022BEGINNG_20" localSheetId="0">GMIC_22A_SCDPT1!$X$42</definedName>
    <definedName name="SCDPT1_022BEGINNG_21" localSheetId="0">GMIC_22A_SCDPT1!$Y$42</definedName>
    <definedName name="SCDPT1_022BEGINNG_22" localSheetId="0">GMIC_22A_SCDPT1!$Z$42</definedName>
    <definedName name="SCDPT1_022BEGINNG_23" localSheetId="0">GMIC_22A_SCDPT1!$AA$42</definedName>
    <definedName name="SCDPT1_022BEGINNG_24" localSheetId="0">GMIC_22A_SCDPT1!$AB$42</definedName>
    <definedName name="SCDPT1_022BEGINNG_25" localSheetId="0">GMIC_22A_SCDPT1!$AC$42</definedName>
    <definedName name="SCDPT1_022BEGINNG_26" localSheetId="0">GMIC_22A_SCDPT1!$AD$42</definedName>
    <definedName name="SCDPT1_022BEGINNG_27" localSheetId="0">GMIC_22A_SCDPT1!$AE$42</definedName>
    <definedName name="SCDPT1_022BEGINNG_28" localSheetId="0">GMIC_22A_SCDPT1!$AF$42</definedName>
    <definedName name="SCDPT1_022BEGINNG_29" localSheetId="0">GMIC_22A_SCDPT1!$AG$42</definedName>
    <definedName name="SCDPT1_022BEGINNG_3" localSheetId="0">GMIC_22A_SCDPT1!$E$42</definedName>
    <definedName name="SCDPT1_022BEGINNG_30" localSheetId="0">GMIC_22A_SCDPT1!$AH$42</definedName>
    <definedName name="SCDPT1_022BEGINNG_31" localSheetId="0">GMIC_22A_SCDPT1!$AI$42</definedName>
    <definedName name="SCDPT1_022BEGINNG_32" localSheetId="0">GMIC_22A_SCDPT1!$AJ$42</definedName>
    <definedName name="SCDPT1_022BEGINNG_33" localSheetId="0">GMIC_22A_SCDPT1!$AK$42</definedName>
    <definedName name="SCDPT1_022BEGINNG_34" localSheetId="0">GMIC_22A_SCDPT1!$AL$42</definedName>
    <definedName name="SCDPT1_022BEGINNG_35" localSheetId="0">GMIC_22A_SCDPT1!$AM$42</definedName>
    <definedName name="SCDPT1_022BEGINNG_36" localSheetId="0">GMIC_22A_SCDPT1!$AN$42</definedName>
    <definedName name="SCDPT1_022BEGINNG_4" localSheetId="0">GMIC_22A_SCDPT1!$F$42</definedName>
    <definedName name="SCDPT1_022BEGINNG_5" localSheetId="0">GMIC_22A_SCDPT1!$G$42</definedName>
    <definedName name="SCDPT1_022BEGINNG_6.01" localSheetId="0">GMIC_22A_SCDPT1!$H$42</definedName>
    <definedName name="SCDPT1_022BEGINNG_6.02" localSheetId="0">GMIC_22A_SCDPT1!$I$42</definedName>
    <definedName name="SCDPT1_022BEGINNG_6.03" localSheetId="0">GMIC_22A_SCDPT1!$J$42</definedName>
    <definedName name="SCDPT1_022BEGINNG_7" localSheetId="0">GMIC_22A_SCDPT1!$K$42</definedName>
    <definedName name="SCDPT1_022BEGINNG_8" localSheetId="0">GMIC_22A_SCDPT1!$L$42</definedName>
    <definedName name="SCDPT1_022BEGINNG_9" localSheetId="0">GMIC_22A_SCDPT1!$M$42</definedName>
    <definedName name="SCDPT1_022ENDINGG_10" localSheetId="0">GMIC_22A_SCDPT1!$N$44</definedName>
    <definedName name="SCDPT1_022ENDINGG_11" localSheetId="0">GMIC_22A_SCDPT1!$O$44</definedName>
    <definedName name="SCDPT1_022ENDINGG_12" localSheetId="0">GMIC_22A_SCDPT1!$P$44</definedName>
    <definedName name="SCDPT1_022ENDINGG_13" localSheetId="0">GMIC_22A_SCDPT1!$Q$44</definedName>
    <definedName name="SCDPT1_022ENDINGG_14" localSheetId="0">GMIC_22A_SCDPT1!$R$44</definedName>
    <definedName name="SCDPT1_022ENDINGG_15" localSheetId="0">GMIC_22A_SCDPT1!$S$44</definedName>
    <definedName name="SCDPT1_022ENDINGG_16" localSheetId="0">GMIC_22A_SCDPT1!$T$44</definedName>
    <definedName name="SCDPT1_022ENDINGG_17" localSheetId="0">GMIC_22A_SCDPT1!$U$44</definedName>
    <definedName name="SCDPT1_022ENDINGG_18" localSheetId="0">GMIC_22A_SCDPT1!$V$44</definedName>
    <definedName name="SCDPT1_022ENDINGG_19" localSheetId="0">GMIC_22A_SCDPT1!$W$44</definedName>
    <definedName name="SCDPT1_022ENDINGG_2" localSheetId="0">GMIC_22A_SCDPT1!$D$44</definedName>
    <definedName name="SCDPT1_022ENDINGG_20" localSheetId="0">GMIC_22A_SCDPT1!$X$44</definedName>
    <definedName name="SCDPT1_022ENDINGG_21" localSheetId="0">GMIC_22A_SCDPT1!$Y$44</definedName>
    <definedName name="SCDPT1_022ENDINGG_22" localSheetId="0">GMIC_22A_SCDPT1!$Z$44</definedName>
    <definedName name="SCDPT1_022ENDINGG_23" localSheetId="0">GMIC_22A_SCDPT1!$AA$44</definedName>
    <definedName name="SCDPT1_022ENDINGG_24" localSheetId="0">GMIC_22A_SCDPT1!$AB$44</definedName>
    <definedName name="SCDPT1_022ENDINGG_25" localSheetId="0">GMIC_22A_SCDPT1!$AC$44</definedName>
    <definedName name="SCDPT1_022ENDINGG_26" localSheetId="0">GMIC_22A_SCDPT1!$AD$44</definedName>
    <definedName name="SCDPT1_022ENDINGG_27" localSheetId="0">GMIC_22A_SCDPT1!$AE$44</definedName>
    <definedName name="SCDPT1_022ENDINGG_28" localSheetId="0">GMIC_22A_SCDPT1!$AF$44</definedName>
    <definedName name="SCDPT1_022ENDINGG_29" localSheetId="0">GMIC_22A_SCDPT1!$AG$44</definedName>
    <definedName name="SCDPT1_022ENDINGG_3" localSheetId="0">GMIC_22A_SCDPT1!$E$44</definedName>
    <definedName name="SCDPT1_022ENDINGG_30" localSheetId="0">GMIC_22A_SCDPT1!$AH$44</definedName>
    <definedName name="SCDPT1_022ENDINGG_31" localSheetId="0">GMIC_22A_SCDPT1!$AI$44</definedName>
    <definedName name="SCDPT1_022ENDINGG_32" localSheetId="0">GMIC_22A_SCDPT1!$AJ$44</definedName>
    <definedName name="SCDPT1_022ENDINGG_33" localSheetId="0">GMIC_22A_SCDPT1!$AK$44</definedName>
    <definedName name="SCDPT1_022ENDINGG_34" localSheetId="0">GMIC_22A_SCDPT1!$AL$44</definedName>
    <definedName name="SCDPT1_022ENDINGG_35" localSheetId="0">GMIC_22A_SCDPT1!$AM$44</definedName>
    <definedName name="SCDPT1_022ENDINGG_36" localSheetId="0">GMIC_22A_SCDPT1!$AN$44</definedName>
    <definedName name="SCDPT1_022ENDINGG_4" localSheetId="0">GMIC_22A_SCDPT1!$F$44</definedName>
    <definedName name="SCDPT1_022ENDINGG_5" localSheetId="0">GMIC_22A_SCDPT1!$G$44</definedName>
    <definedName name="SCDPT1_022ENDINGG_6.01" localSheetId="0">GMIC_22A_SCDPT1!$H$44</definedName>
    <definedName name="SCDPT1_022ENDINGG_6.02" localSheetId="0">GMIC_22A_SCDPT1!$I$44</definedName>
    <definedName name="SCDPT1_022ENDINGG_6.03" localSheetId="0">GMIC_22A_SCDPT1!$J$44</definedName>
    <definedName name="SCDPT1_022ENDINGG_7" localSheetId="0">GMIC_22A_SCDPT1!$K$44</definedName>
    <definedName name="SCDPT1_022ENDINGG_8" localSheetId="0">GMIC_22A_SCDPT1!$L$44</definedName>
    <definedName name="SCDPT1_022ENDINGG_9" localSheetId="0">GMIC_22A_SCDPT1!$M$44</definedName>
    <definedName name="SCDPT1_0230000000_Range" localSheetId="0">GMIC_22A_SCDPT1!$B$46:$AN$48</definedName>
    <definedName name="SCDPT1_0239999999_10" localSheetId="0">GMIC_22A_SCDPT1!$N$49</definedName>
    <definedName name="SCDPT1_0239999999_11" localSheetId="0">GMIC_22A_SCDPT1!$O$49</definedName>
    <definedName name="SCDPT1_0239999999_12" localSheetId="0">GMIC_22A_SCDPT1!$P$49</definedName>
    <definedName name="SCDPT1_0239999999_13" localSheetId="0">GMIC_22A_SCDPT1!$Q$49</definedName>
    <definedName name="SCDPT1_0239999999_14" localSheetId="0">GMIC_22A_SCDPT1!$R$49</definedName>
    <definedName name="SCDPT1_0239999999_15" localSheetId="0">GMIC_22A_SCDPT1!$S$49</definedName>
    <definedName name="SCDPT1_0239999999_19" localSheetId="0">GMIC_22A_SCDPT1!$W$49</definedName>
    <definedName name="SCDPT1_0239999999_20" localSheetId="0">GMIC_22A_SCDPT1!$X$49</definedName>
    <definedName name="SCDPT1_0239999999_7" localSheetId="0">GMIC_22A_SCDPT1!$K$49</definedName>
    <definedName name="SCDPT1_0239999999_9" localSheetId="0">GMIC_22A_SCDPT1!$M$49</definedName>
    <definedName name="SCDPT1_023BEGINNG_1" localSheetId="0">GMIC_22A_SCDPT1!$C$46</definedName>
    <definedName name="SCDPT1_023BEGINNG_10" localSheetId="0">GMIC_22A_SCDPT1!$N$46</definedName>
    <definedName name="SCDPT1_023BEGINNG_11" localSheetId="0">GMIC_22A_SCDPT1!$O$46</definedName>
    <definedName name="SCDPT1_023BEGINNG_12" localSheetId="0">GMIC_22A_SCDPT1!$P$46</definedName>
    <definedName name="SCDPT1_023BEGINNG_13" localSheetId="0">GMIC_22A_SCDPT1!$Q$46</definedName>
    <definedName name="SCDPT1_023BEGINNG_14" localSheetId="0">GMIC_22A_SCDPT1!$R$46</definedName>
    <definedName name="SCDPT1_023BEGINNG_15" localSheetId="0">GMIC_22A_SCDPT1!$S$46</definedName>
    <definedName name="SCDPT1_023BEGINNG_16" localSheetId="0">GMIC_22A_SCDPT1!$T$46</definedName>
    <definedName name="SCDPT1_023BEGINNG_17" localSheetId="0">GMIC_22A_SCDPT1!$U$46</definedName>
    <definedName name="SCDPT1_023BEGINNG_18" localSheetId="0">GMIC_22A_SCDPT1!$V$46</definedName>
    <definedName name="SCDPT1_023BEGINNG_19" localSheetId="0">GMIC_22A_SCDPT1!$W$46</definedName>
    <definedName name="SCDPT1_023BEGINNG_2" localSheetId="0">GMIC_22A_SCDPT1!$D$46</definedName>
    <definedName name="SCDPT1_023BEGINNG_20" localSheetId="0">GMIC_22A_SCDPT1!$X$46</definedName>
    <definedName name="SCDPT1_023BEGINNG_21" localSheetId="0">GMIC_22A_SCDPT1!$Y$46</definedName>
    <definedName name="SCDPT1_023BEGINNG_22" localSheetId="0">GMIC_22A_SCDPT1!$Z$46</definedName>
    <definedName name="SCDPT1_023BEGINNG_23" localSheetId="0">GMIC_22A_SCDPT1!$AA$46</definedName>
    <definedName name="SCDPT1_023BEGINNG_24" localSheetId="0">GMIC_22A_SCDPT1!$AB$46</definedName>
    <definedName name="SCDPT1_023BEGINNG_25" localSheetId="0">GMIC_22A_SCDPT1!$AC$46</definedName>
    <definedName name="SCDPT1_023BEGINNG_26" localSheetId="0">GMIC_22A_SCDPT1!$AD$46</definedName>
    <definedName name="SCDPT1_023BEGINNG_27" localSheetId="0">GMIC_22A_SCDPT1!$AE$46</definedName>
    <definedName name="SCDPT1_023BEGINNG_28" localSheetId="0">GMIC_22A_SCDPT1!$AF$46</definedName>
    <definedName name="SCDPT1_023BEGINNG_29" localSheetId="0">GMIC_22A_SCDPT1!$AG$46</definedName>
    <definedName name="SCDPT1_023BEGINNG_3" localSheetId="0">GMIC_22A_SCDPT1!$E$46</definedName>
    <definedName name="SCDPT1_023BEGINNG_30" localSheetId="0">GMIC_22A_SCDPT1!$AH$46</definedName>
    <definedName name="SCDPT1_023BEGINNG_31" localSheetId="0">GMIC_22A_SCDPT1!$AI$46</definedName>
    <definedName name="SCDPT1_023BEGINNG_32" localSheetId="0">GMIC_22A_SCDPT1!$AJ$46</definedName>
    <definedName name="SCDPT1_023BEGINNG_33" localSheetId="0">GMIC_22A_SCDPT1!$AK$46</definedName>
    <definedName name="SCDPT1_023BEGINNG_34" localSheetId="0">GMIC_22A_SCDPT1!$AL$46</definedName>
    <definedName name="SCDPT1_023BEGINNG_35" localSheetId="0">GMIC_22A_SCDPT1!$AM$46</definedName>
    <definedName name="SCDPT1_023BEGINNG_36" localSheetId="0">GMIC_22A_SCDPT1!$AN$46</definedName>
    <definedName name="SCDPT1_023BEGINNG_4" localSheetId="0">GMIC_22A_SCDPT1!$F$46</definedName>
    <definedName name="SCDPT1_023BEGINNG_5" localSheetId="0">GMIC_22A_SCDPT1!$G$46</definedName>
    <definedName name="SCDPT1_023BEGINNG_6.01" localSheetId="0">GMIC_22A_SCDPT1!$H$46</definedName>
    <definedName name="SCDPT1_023BEGINNG_6.02" localSheetId="0">GMIC_22A_SCDPT1!$I$46</definedName>
    <definedName name="SCDPT1_023BEGINNG_6.03" localSheetId="0">GMIC_22A_SCDPT1!$J$46</definedName>
    <definedName name="SCDPT1_023BEGINNG_7" localSheetId="0">GMIC_22A_SCDPT1!$K$46</definedName>
    <definedName name="SCDPT1_023BEGINNG_8" localSheetId="0">GMIC_22A_SCDPT1!$L$46</definedName>
    <definedName name="SCDPT1_023BEGINNG_9" localSheetId="0">GMIC_22A_SCDPT1!$M$46</definedName>
    <definedName name="SCDPT1_023ENDINGG_10" localSheetId="0">GMIC_22A_SCDPT1!$N$48</definedName>
    <definedName name="SCDPT1_023ENDINGG_11" localSheetId="0">GMIC_22A_SCDPT1!$O$48</definedName>
    <definedName name="SCDPT1_023ENDINGG_12" localSheetId="0">GMIC_22A_SCDPT1!$P$48</definedName>
    <definedName name="SCDPT1_023ENDINGG_13" localSheetId="0">GMIC_22A_SCDPT1!$Q$48</definedName>
    <definedName name="SCDPT1_023ENDINGG_14" localSheetId="0">GMIC_22A_SCDPT1!$R$48</definedName>
    <definedName name="SCDPT1_023ENDINGG_15" localSheetId="0">GMIC_22A_SCDPT1!$S$48</definedName>
    <definedName name="SCDPT1_023ENDINGG_16" localSheetId="0">GMIC_22A_SCDPT1!$T$48</definedName>
    <definedName name="SCDPT1_023ENDINGG_17" localSheetId="0">GMIC_22A_SCDPT1!$U$48</definedName>
    <definedName name="SCDPT1_023ENDINGG_18" localSheetId="0">GMIC_22A_SCDPT1!$V$48</definedName>
    <definedName name="SCDPT1_023ENDINGG_19" localSheetId="0">GMIC_22A_SCDPT1!$W$48</definedName>
    <definedName name="SCDPT1_023ENDINGG_2" localSheetId="0">GMIC_22A_SCDPT1!$D$48</definedName>
    <definedName name="SCDPT1_023ENDINGG_20" localSheetId="0">GMIC_22A_SCDPT1!$X$48</definedName>
    <definedName name="SCDPT1_023ENDINGG_21" localSheetId="0">GMIC_22A_SCDPT1!$Y$48</definedName>
    <definedName name="SCDPT1_023ENDINGG_22" localSheetId="0">GMIC_22A_SCDPT1!$Z$48</definedName>
    <definedName name="SCDPT1_023ENDINGG_23" localSheetId="0">GMIC_22A_SCDPT1!$AA$48</definedName>
    <definedName name="SCDPT1_023ENDINGG_24" localSheetId="0">GMIC_22A_SCDPT1!$AB$48</definedName>
    <definedName name="SCDPT1_023ENDINGG_25" localSheetId="0">GMIC_22A_SCDPT1!$AC$48</definedName>
    <definedName name="SCDPT1_023ENDINGG_26" localSheetId="0">GMIC_22A_SCDPT1!$AD$48</definedName>
    <definedName name="SCDPT1_023ENDINGG_27" localSheetId="0">GMIC_22A_SCDPT1!$AE$48</definedName>
    <definedName name="SCDPT1_023ENDINGG_28" localSheetId="0">GMIC_22A_SCDPT1!$AF$48</definedName>
    <definedName name="SCDPT1_023ENDINGG_29" localSheetId="0">GMIC_22A_SCDPT1!$AG$48</definedName>
    <definedName name="SCDPT1_023ENDINGG_3" localSheetId="0">GMIC_22A_SCDPT1!$E$48</definedName>
    <definedName name="SCDPT1_023ENDINGG_30" localSheetId="0">GMIC_22A_SCDPT1!$AH$48</definedName>
    <definedName name="SCDPT1_023ENDINGG_31" localSheetId="0">GMIC_22A_SCDPT1!$AI$48</definedName>
    <definedName name="SCDPT1_023ENDINGG_32" localSheetId="0">GMIC_22A_SCDPT1!$AJ$48</definedName>
    <definedName name="SCDPT1_023ENDINGG_33" localSheetId="0">GMIC_22A_SCDPT1!$AK$48</definedName>
    <definedName name="SCDPT1_023ENDINGG_34" localSheetId="0">GMIC_22A_SCDPT1!$AL$48</definedName>
    <definedName name="SCDPT1_023ENDINGG_35" localSheetId="0">GMIC_22A_SCDPT1!$AM$48</definedName>
    <definedName name="SCDPT1_023ENDINGG_36" localSheetId="0">GMIC_22A_SCDPT1!$AN$48</definedName>
    <definedName name="SCDPT1_023ENDINGG_4" localSheetId="0">GMIC_22A_SCDPT1!$F$48</definedName>
    <definedName name="SCDPT1_023ENDINGG_5" localSheetId="0">GMIC_22A_SCDPT1!$G$48</definedName>
    <definedName name="SCDPT1_023ENDINGG_6.01" localSheetId="0">GMIC_22A_SCDPT1!$H$48</definedName>
    <definedName name="SCDPT1_023ENDINGG_6.02" localSheetId="0">GMIC_22A_SCDPT1!$I$48</definedName>
    <definedName name="SCDPT1_023ENDINGG_6.03" localSheetId="0">GMIC_22A_SCDPT1!$J$48</definedName>
    <definedName name="SCDPT1_023ENDINGG_7" localSheetId="0">GMIC_22A_SCDPT1!$K$48</definedName>
    <definedName name="SCDPT1_023ENDINGG_8" localSheetId="0">GMIC_22A_SCDPT1!$L$48</definedName>
    <definedName name="SCDPT1_023ENDINGG_9" localSheetId="0">GMIC_22A_SCDPT1!$M$48</definedName>
    <definedName name="SCDPT1_0240000000_Range" localSheetId="0">GMIC_22A_SCDPT1!$B$50:$AN$52</definedName>
    <definedName name="SCDPT1_0249999999_10" localSheetId="0">GMIC_22A_SCDPT1!$N$53</definedName>
    <definedName name="SCDPT1_0249999999_11" localSheetId="0">GMIC_22A_SCDPT1!$O$53</definedName>
    <definedName name="SCDPT1_0249999999_12" localSheetId="0">GMIC_22A_SCDPT1!$P$53</definedName>
    <definedName name="SCDPT1_0249999999_13" localSheetId="0">GMIC_22A_SCDPT1!$Q$53</definedName>
    <definedName name="SCDPT1_0249999999_14" localSheetId="0">GMIC_22A_SCDPT1!$R$53</definedName>
    <definedName name="SCDPT1_0249999999_15" localSheetId="0">GMIC_22A_SCDPT1!$S$53</definedName>
    <definedName name="SCDPT1_0249999999_19" localSheetId="0">GMIC_22A_SCDPT1!$W$53</definedName>
    <definedName name="SCDPT1_0249999999_20" localSheetId="0">GMIC_22A_SCDPT1!$X$53</definedName>
    <definedName name="SCDPT1_0249999999_7" localSheetId="0">GMIC_22A_SCDPT1!$K$53</definedName>
    <definedName name="SCDPT1_0249999999_9" localSheetId="0">GMIC_22A_SCDPT1!$M$53</definedName>
    <definedName name="SCDPT1_024BEGINNG_1" localSheetId="0">GMIC_22A_SCDPT1!$C$50</definedName>
    <definedName name="SCDPT1_024BEGINNG_10" localSheetId="0">GMIC_22A_SCDPT1!$N$50</definedName>
    <definedName name="SCDPT1_024BEGINNG_11" localSheetId="0">GMIC_22A_SCDPT1!$O$50</definedName>
    <definedName name="SCDPT1_024BEGINNG_12" localSheetId="0">GMIC_22A_SCDPT1!$P$50</definedName>
    <definedName name="SCDPT1_024BEGINNG_13" localSheetId="0">GMIC_22A_SCDPT1!$Q$50</definedName>
    <definedName name="SCDPT1_024BEGINNG_14" localSheetId="0">GMIC_22A_SCDPT1!$R$50</definedName>
    <definedName name="SCDPT1_024BEGINNG_15" localSheetId="0">GMIC_22A_SCDPT1!$S$50</definedName>
    <definedName name="SCDPT1_024BEGINNG_16" localSheetId="0">GMIC_22A_SCDPT1!$T$50</definedName>
    <definedName name="SCDPT1_024BEGINNG_17" localSheetId="0">GMIC_22A_SCDPT1!$U$50</definedName>
    <definedName name="SCDPT1_024BEGINNG_18" localSheetId="0">GMIC_22A_SCDPT1!$V$50</definedName>
    <definedName name="SCDPT1_024BEGINNG_19" localSheetId="0">GMIC_22A_SCDPT1!$W$50</definedName>
    <definedName name="SCDPT1_024BEGINNG_2" localSheetId="0">GMIC_22A_SCDPT1!$D$50</definedName>
    <definedName name="SCDPT1_024BEGINNG_20" localSheetId="0">GMIC_22A_SCDPT1!$X$50</definedName>
    <definedName name="SCDPT1_024BEGINNG_21" localSheetId="0">GMIC_22A_SCDPT1!$Y$50</definedName>
    <definedName name="SCDPT1_024BEGINNG_22" localSheetId="0">GMIC_22A_SCDPT1!$Z$50</definedName>
    <definedName name="SCDPT1_024BEGINNG_23" localSheetId="0">GMIC_22A_SCDPT1!$AA$50</definedName>
    <definedName name="SCDPT1_024BEGINNG_24" localSheetId="0">GMIC_22A_SCDPT1!$AB$50</definedName>
    <definedName name="SCDPT1_024BEGINNG_25" localSheetId="0">GMIC_22A_SCDPT1!$AC$50</definedName>
    <definedName name="SCDPT1_024BEGINNG_26" localSheetId="0">GMIC_22A_SCDPT1!$AD$50</definedName>
    <definedName name="SCDPT1_024BEGINNG_27" localSheetId="0">GMIC_22A_SCDPT1!$AE$50</definedName>
    <definedName name="SCDPT1_024BEGINNG_28" localSheetId="0">GMIC_22A_SCDPT1!$AF$50</definedName>
    <definedName name="SCDPT1_024BEGINNG_29" localSheetId="0">GMIC_22A_SCDPT1!$AG$50</definedName>
    <definedName name="SCDPT1_024BEGINNG_3" localSheetId="0">GMIC_22A_SCDPT1!$E$50</definedName>
    <definedName name="SCDPT1_024BEGINNG_30" localSheetId="0">GMIC_22A_SCDPT1!$AH$50</definedName>
    <definedName name="SCDPT1_024BEGINNG_31" localSheetId="0">GMIC_22A_SCDPT1!$AI$50</definedName>
    <definedName name="SCDPT1_024BEGINNG_32" localSheetId="0">GMIC_22A_SCDPT1!$AJ$50</definedName>
    <definedName name="SCDPT1_024BEGINNG_33" localSheetId="0">GMIC_22A_SCDPT1!$AK$50</definedName>
    <definedName name="SCDPT1_024BEGINNG_34" localSheetId="0">GMIC_22A_SCDPT1!$AL$50</definedName>
    <definedName name="SCDPT1_024BEGINNG_35" localSheetId="0">GMIC_22A_SCDPT1!$AM$50</definedName>
    <definedName name="SCDPT1_024BEGINNG_36" localSheetId="0">GMIC_22A_SCDPT1!$AN$50</definedName>
    <definedName name="SCDPT1_024BEGINNG_4" localSheetId="0">GMIC_22A_SCDPT1!$F$50</definedName>
    <definedName name="SCDPT1_024BEGINNG_5" localSheetId="0">GMIC_22A_SCDPT1!$G$50</definedName>
    <definedName name="SCDPT1_024BEGINNG_6.01" localSheetId="0">GMIC_22A_SCDPT1!$H$50</definedName>
    <definedName name="SCDPT1_024BEGINNG_6.02" localSheetId="0">GMIC_22A_SCDPT1!$I$50</definedName>
    <definedName name="SCDPT1_024BEGINNG_6.03" localSheetId="0">GMIC_22A_SCDPT1!$J$50</definedName>
    <definedName name="SCDPT1_024BEGINNG_7" localSheetId="0">GMIC_22A_SCDPT1!$K$50</definedName>
    <definedName name="SCDPT1_024BEGINNG_8" localSheetId="0">GMIC_22A_SCDPT1!$L$50</definedName>
    <definedName name="SCDPT1_024BEGINNG_9" localSheetId="0">GMIC_22A_SCDPT1!$M$50</definedName>
    <definedName name="SCDPT1_024ENDINGG_10" localSheetId="0">GMIC_22A_SCDPT1!$N$52</definedName>
    <definedName name="SCDPT1_024ENDINGG_11" localSheetId="0">GMIC_22A_SCDPT1!$O$52</definedName>
    <definedName name="SCDPT1_024ENDINGG_12" localSheetId="0">GMIC_22A_SCDPT1!$P$52</definedName>
    <definedName name="SCDPT1_024ENDINGG_13" localSheetId="0">GMIC_22A_SCDPT1!$Q$52</definedName>
    <definedName name="SCDPT1_024ENDINGG_14" localSheetId="0">GMIC_22A_SCDPT1!$R$52</definedName>
    <definedName name="SCDPT1_024ENDINGG_15" localSheetId="0">GMIC_22A_SCDPT1!$S$52</definedName>
    <definedName name="SCDPT1_024ENDINGG_16" localSheetId="0">GMIC_22A_SCDPT1!$T$52</definedName>
    <definedName name="SCDPT1_024ENDINGG_17" localSheetId="0">GMIC_22A_SCDPT1!$U$52</definedName>
    <definedName name="SCDPT1_024ENDINGG_18" localSheetId="0">GMIC_22A_SCDPT1!$V$52</definedName>
    <definedName name="SCDPT1_024ENDINGG_19" localSheetId="0">GMIC_22A_SCDPT1!$W$52</definedName>
    <definedName name="SCDPT1_024ENDINGG_2" localSheetId="0">GMIC_22A_SCDPT1!$D$52</definedName>
    <definedName name="SCDPT1_024ENDINGG_20" localSheetId="0">GMIC_22A_SCDPT1!$X$52</definedName>
    <definedName name="SCDPT1_024ENDINGG_21" localSheetId="0">GMIC_22A_SCDPT1!$Y$52</definedName>
    <definedName name="SCDPT1_024ENDINGG_22" localSheetId="0">GMIC_22A_SCDPT1!$Z$52</definedName>
    <definedName name="SCDPT1_024ENDINGG_23" localSheetId="0">GMIC_22A_SCDPT1!$AA$52</definedName>
    <definedName name="SCDPT1_024ENDINGG_24" localSheetId="0">GMIC_22A_SCDPT1!$AB$52</definedName>
    <definedName name="SCDPT1_024ENDINGG_25" localSheetId="0">GMIC_22A_SCDPT1!$AC$52</definedName>
    <definedName name="SCDPT1_024ENDINGG_26" localSheetId="0">GMIC_22A_SCDPT1!$AD$52</definedName>
    <definedName name="SCDPT1_024ENDINGG_27" localSheetId="0">GMIC_22A_SCDPT1!$AE$52</definedName>
    <definedName name="SCDPT1_024ENDINGG_28" localSheetId="0">GMIC_22A_SCDPT1!$AF$52</definedName>
    <definedName name="SCDPT1_024ENDINGG_29" localSheetId="0">GMIC_22A_SCDPT1!$AG$52</definedName>
    <definedName name="SCDPT1_024ENDINGG_3" localSheetId="0">GMIC_22A_SCDPT1!$E$52</definedName>
    <definedName name="SCDPT1_024ENDINGG_30" localSheetId="0">GMIC_22A_SCDPT1!$AH$52</definedName>
    <definedName name="SCDPT1_024ENDINGG_31" localSheetId="0">GMIC_22A_SCDPT1!$AI$52</definedName>
    <definedName name="SCDPT1_024ENDINGG_32" localSheetId="0">GMIC_22A_SCDPT1!$AJ$52</definedName>
    <definedName name="SCDPT1_024ENDINGG_33" localSheetId="0">GMIC_22A_SCDPT1!$AK$52</definedName>
    <definedName name="SCDPT1_024ENDINGG_34" localSheetId="0">GMIC_22A_SCDPT1!$AL$52</definedName>
    <definedName name="SCDPT1_024ENDINGG_35" localSheetId="0">GMIC_22A_SCDPT1!$AM$52</definedName>
    <definedName name="SCDPT1_024ENDINGG_36" localSheetId="0">GMIC_22A_SCDPT1!$AN$52</definedName>
    <definedName name="SCDPT1_024ENDINGG_4" localSheetId="0">GMIC_22A_SCDPT1!$F$52</definedName>
    <definedName name="SCDPT1_024ENDINGG_5" localSheetId="0">GMIC_22A_SCDPT1!$G$52</definedName>
    <definedName name="SCDPT1_024ENDINGG_6.01" localSheetId="0">GMIC_22A_SCDPT1!$H$52</definedName>
    <definedName name="SCDPT1_024ENDINGG_6.02" localSheetId="0">GMIC_22A_SCDPT1!$I$52</definedName>
    <definedName name="SCDPT1_024ENDINGG_6.03" localSheetId="0">GMIC_22A_SCDPT1!$J$52</definedName>
    <definedName name="SCDPT1_024ENDINGG_7" localSheetId="0">GMIC_22A_SCDPT1!$K$52</definedName>
    <definedName name="SCDPT1_024ENDINGG_8" localSheetId="0">GMIC_22A_SCDPT1!$L$52</definedName>
    <definedName name="SCDPT1_024ENDINGG_9" localSheetId="0">GMIC_22A_SCDPT1!$M$52</definedName>
    <definedName name="SCDPT1_0309999999_10" localSheetId="0">GMIC_22A_SCDPT1!$N$54</definedName>
    <definedName name="SCDPT1_0309999999_11" localSheetId="0">GMIC_22A_SCDPT1!$O$54</definedName>
    <definedName name="SCDPT1_0309999999_12" localSheetId="0">GMIC_22A_SCDPT1!$P$54</definedName>
    <definedName name="SCDPT1_0309999999_13" localSheetId="0">GMIC_22A_SCDPT1!$Q$54</definedName>
    <definedName name="SCDPT1_0309999999_14" localSheetId="0">GMIC_22A_SCDPT1!$R$54</definedName>
    <definedName name="SCDPT1_0309999999_15" localSheetId="0">GMIC_22A_SCDPT1!$S$54</definedName>
    <definedName name="SCDPT1_0309999999_19" localSheetId="0">GMIC_22A_SCDPT1!$W$54</definedName>
    <definedName name="SCDPT1_0309999999_20" localSheetId="0">GMIC_22A_SCDPT1!$X$54</definedName>
    <definedName name="SCDPT1_0309999999_7" localSheetId="0">GMIC_22A_SCDPT1!$K$54</definedName>
    <definedName name="SCDPT1_0309999999_9" localSheetId="0">GMIC_22A_SCDPT1!$M$54</definedName>
    <definedName name="SCDPT1_0410000000_Range" localSheetId="0">GMIC_22A_SCDPT1!$B$55:$AN$66</definedName>
    <definedName name="SCDPT1_0410000001_1" localSheetId="0">GMIC_22A_SCDPT1!$C$56</definedName>
    <definedName name="SCDPT1_0410000001_10" localSheetId="0">GMIC_22A_SCDPT1!$N$56</definedName>
    <definedName name="SCDPT1_0410000001_11" localSheetId="0">GMIC_22A_SCDPT1!$O$56</definedName>
    <definedName name="SCDPT1_0410000001_12" localSheetId="0">GMIC_22A_SCDPT1!$P$56</definedName>
    <definedName name="SCDPT1_0410000001_13" localSheetId="0">GMIC_22A_SCDPT1!$Q$56</definedName>
    <definedName name="SCDPT1_0410000001_14" localSheetId="0">GMIC_22A_SCDPT1!$R$56</definedName>
    <definedName name="SCDPT1_0410000001_15" localSheetId="0">GMIC_22A_SCDPT1!$S$56</definedName>
    <definedName name="SCDPT1_0410000001_16" localSheetId="0">GMIC_22A_SCDPT1!$T$56</definedName>
    <definedName name="SCDPT1_0410000001_17" localSheetId="0">GMIC_22A_SCDPT1!$U$56</definedName>
    <definedName name="SCDPT1_0410000001_18" localSheetId="0">GMIC_22A_SCDPT1!$V$56</definedName>
    <definedName name="SCDPT1_0410000001_19" localSheetId="0">GMIC_22A_SCDPT1!$W$56</definedName>
    <definedName name="SCDPT1_0410000001_2" localSheetId="0">GMIC_22A_SCDPT1!$D$56</definedName>
    <definedName name="SCDPT1_0410000001_20" localSheetId="0">GMIC_22A_SCDPT1!$X$56</definedName>
    <definedName name="SCDPT1_0410000001_21" localSheetId="0">GMIC_22A_SCDPT1!$Y$56</definedName>
    <definedName name="SCDPT1_0410000001_22" localSheetId="0">GMIC_22A_SCDPT1!$Z$56</definedName>
    <definedName name="SCDPT1_0410000001_23" localSheetId="0">GMIC_22A_SCDPT1!$AA$56</definedName>
    <definedName name="SCDPT1_0410000001_24" localSheetId="0">GMIC_22A_SCDPT1!$AB$56</definedName>
    <definedName name="SCDPT1_0410000001_25" localSheetId="0">GMIC_22A_SCDPT1!$AC$56</definedName>
    <definedName name="SCDPT1_0410000001_27" localSheetId="0">GMIC_22A_SCDPT1!$AE$56</definedName>
    <definedName name="SCDPT1_0410000001_28" localSheetId="0">GMIC_22A_SCDPT1!$AF$56</definedName>
    <definedName name="SCDPT1_0410000001_29" localSheetId="0">GMIC_22A_SCDPT1!$AG$56</definedName>
    <definedName name="SCDPT1_0410000001_3" localSheetId="0">GMIC_22A_SCDPT1!$E$56</definedName>
    <definedName name="SCDPT1_0410000001_30" localSheetId="0">GMIC_22A_SCDPT1!$AH$56</definedName>
    <definedName name="SCDPT1_0410000001_31" localSheetId="0">GMIC_22A_SCDPT1!$AI$56</definedName>
    <definedName name="SCDPT1_0410000001_32" localSheetId="0">GMIC_22A_SCDPT1!$AJ$56</definedName>
    <definedName name="SCDPT1_0410000001_33" localSheetId="0">GMIC_22A_SCDPT1!$AK$56</definedName>
    <definedName name="SCDPT1_0410000001_34" localSheetId="0">GMIC_22A_SCDPT1!$AL$56</definedName>
    <definedName name="SCDPT1_0410000001_35" localSheetId="0">GMIC_22A_SCDPT1!$AM$56</definedName>
    <definedName name="SCDPT1_0410000001_36" localSheetId="0">GMIC_22A_SCDPT1!$AN$56</definedName>
    <definedName name="SCDPT1_0410000001_4" localSheetId="0">GMIC_22A_SCDPT1!$F$56</definedName>
    <definedName name="SCDPT1_0410000001_5" localSheetId="0">GMIC_22A_SCDPT1!$G$56</definedName>
    <definedName name="SCDPT1_0410000001_6.01" localSheetId="0">GMIC_22A_SCDPT1!$H$56</definedName>
    <definedName name="SCDPT1_0410000001_6.02" localSheetId="0">GMIC_22A_SCDPT1!$I$56</definedName>
    <definedName name="SCDPT1_0410000001_6.03" localSheetId="0">GMIC_22A_SCDPT1!$J$56</definedName>
    <definedName name="SCDPT1_0410000001_7" localSheetId="0">GMIC_22A_SCDPT1!$K$56</definedName>
    <definedName name="SCDPT1_0410000001_8" localSheetId="0">GMIC_22A_SCDPT1!$L$56</definedName>
    <definedName name="SCDPT1_0410000001_9" localSheetId="0">GMIC_22A_SCDPT1!$M$56</definedName>
    <definedName name="SCDPT1_0419999999_10" localSheetId="0">GMIC_22A_SCDPT1!$N$67</definedName>
    <definedName name="SCDPT1_0419999999_11" localSheetId="0">GMIC_22A_SCDPT1!$O$67</definedName>
    <definedName name="SCDPT1_0419999999_12" localSheetId="0">GMIC_22A_SCDPT1!$P$67</definedName>
    <definedName name="SCDPT1_0419999999_13" localSheetId="0">GMIC_22A_SCDPT1!$Q$67</definedName>
    <definedName name="SCDPT1_0419999999_14" localSheetId="0">GMIC_22A_SCDPT1!$R$67</definedName>
    <definedName name="SCDPT1_0419999999_15" localSheetId="0">GMIC_22A_SCDPT1!$S$67</definedName>
    <definedName name="SCDPT1_0419999999_19" localSheetId="0">GMIC_22A_SCDPT1!$W$67</definedName>
    <definedName name="SCDPT1_0419999999_20" localSheetId="0">GMIC_22A_SCDPT1!$X$67</definedName>
    <definedName name="SCDPT1_0419999999_7" localSheetId="0">GMIC_22A_SCDPT1!$K$67</definedName>
    <definedName name="SCDPT1_0419999999_9" localSheetId="0">GMIC_22A_SCDPT1!$M$67</definedName>
    <definedName name="SCDPT1_041BEGINNG_1" localSheetId="0">GMIC_22A_SCDPT1!$C$55</definedName>
    <definedName name="SCDPT1_041BEGINNG_10" localSheetId="0">GMIC_22A_SCDPT1!$N$55</definedName>
    <definedName name="SCDPT1_041BEGINNG_11" localSheetId="0">GMIC_22A_SCDPT1!$O$55</definedName>
    <definedName name="SCDPT1_041BEGINNG_12" localSheetId="0">GMIC_22A_SCDPT1!$P$55</definedName>
    <definedName name="SCDPT1_041BEGINNG_13" localSheetId="0">GMIC_22A_SCDPT1!$Q$55</definedName>
    <definedName name="SCDPT1_041BEGINNG_14" localSheetId="0">GMIC_22A_SCDPT1!$R$55</definedName>
    <definedName name="SCDPT1_041BEGINNG_15" localSheetId="0">GMIC_22A_SCDPT1!$S$55</definedName>
    <definedName name="SCDPT1_041BEGINNG_16" localSheetId="0">GMIC_22A_SCDPT1!$T$55</definedName>
    <definedName name="SCDPT1_041BEGINNG_17" localSheetId="0">GMIC_22A_SCDPT1!$U$55</definedName>
    <definedName name="SCDPT1_041BEGINNG_18" localSheetId="0">GMIC_22A_SCDPT1!$V$55</definedName>
    <definedName name="SCDPT1_041BEGINNG_19" localSheetId="0">GMIC_22A_SCDPT1!$W$55</definedName>
    <definedName name="SCDPT1_041BEGINNG_2" localSheetId="0">GMIC_22A_SCDPT1!$D$55</definedName>
    <definedName name="SCDPT1_041BEGINNG_20" localSheetId="0">GMIC_22A_SCDPT1!$X$55</definedName>
    <definedName name="SCDPT1_041BEGINNG_21" localSheetId="0">GMIC_22A_SCDPT1!$Y$55</definedName>
    <definedName name="SCDPT1_041BEGINNG_22" localSheetId="0">GMIC_22A_SCDPT1!$Z$55</definedName>
    <definedName name="SCDPT1_041BEGINNG_23" localSheetId="0">GMIC_22A_SCDPT1!$AA$55</definedName>
    <definedName name="SCDPT1_041BEGINNG_24" localSheetId="0">GMIC_22A_SCDPT1!$AB$55</definedName>
    <definedName name="SCDPT1_041BEGINNG_25" localSheetId="0">GMIC_22A_SCDPT1!$AC$55</definedName>
    <definedName name="SCDPT1_041BEGINNG_26" localSheetId="0">GMIC_22A_SCDPT1!$AD$55</definedName>
    <definedName name="SCDPT1_041BEGINNG_27" localSheetId="0">GMIC_22A_SCDPT1!$AE$55</definedName>
    <definedName name="SCDPT1_041BEGINNG_28" localSheetId="0">GMIC_22A_SCDPT1!$AF$55</definedName>
    <definedName name="SCDPT1_041BEGINNG_29" localSheetId="0">GMIC_22A_SCDPT1!$AG$55</definedName>
    <definedName name="SCDPT1_041BEGINNG_3" localSheetId="0">GMIC_22A_SCDPT1!$E$55</definedName>
    <definedName name="SCDPT1_041BEGINNG_30" localSheetId="0">GMIC_22A_SCDPT1!$AH$55</definedName>
    <definedName name="SCDPT1_041BEGINNG_31" localSheetId="0">GMIC_22A_SCDPT1!$AI$55</definedName>
    <definedName name="SCDPT1_041BEGINNG_32" localSheetId="0">GMIC_22A_SCDPT1!$AJ$55</definedName>
    <definedName name="SCDPT1_041BEGINNG_33" localSheetId="0">GMIC_22A_SCDPT1!$AK$55</definedName>
    <definedName name="SCDPT1_041BEGINNG_34" localSheetId="0">GMIC_22A_SCDPT1!$AL$55</definedName>
    <definedName name="SCDPT1_041BEGINNG_35" localSheetId="0">GMIC_22A_SCDPT1!$AM$55</definedName>
    <definedName name="SCDPT1_041BEGINNG_36" localSheetId="0">GMIC_22A_SCDPT1!$AN$55</definedName>
    <definedName name="SCDPT1_041BEGINNG_4" localSheetId="0">GMIC_22A_SCDPT1!$F$55</definedName>
    <definedName name="SCDPT1_041BEGINNG_5" localSheetId="0">GMIC_22A_SCDPT1!$G$55</definedName>
    <definedName name="SCDPT1_041BEGINNG_6.01" localSheetId="0">GMIC_22A_SCDPT1!$H$55</definedName>
    <definedName name="SCDPT1_041BEGINNG_6.02" localSheetId="0">GMIC_22A_SCDPT1!$I$55</definedName>
    <definedName name="SCDPT1_041BEGINNG_6.03" localSheetId="0">GMIC_22A_SCDPT1!$J$55</definedName>
    <definedName name="SCDPT1_041BEGINNG_7" localSheetId="0">GMIC_22A_SCDPT1!$K$55</definedName>
    <definedName name="SCDPT1_041BEGINNG_8" localSheetId="0">GMIC_22A_SCDPT1!$L$55</definedName>
    <definedName name="SCDPT1_041BEGINNG_9" localSheetId="0">GMIC_22A_SCDPT1!$M$55</definedName>
    <definedName name="SCDPT1_041ENDINGG_10" localSheetId="0">GMIC_22A_SCDPT1!$N$66</definedName>
    <definedName name="SCDPT1_041ENDINGG_11" localSheetId="0">GMIC_22A_SCDPT1!$O$66</definedName>
    <definedName name="SCDPT1_041ENDINGG_12" localSheetId="0">GMIC_22A_SCDPT1!$P$66</definedName>
    <definedName name="SCDPT1_041ENDINGG_13" localSheetId="0">GMIC_22A_SCDPT1!$Q$66</definedName>
    <definedName name="SCDPT1_041ENDINGG_14" localSheetId="0">GMIC_22A_SCDPT1!$R$66</definedName>
    <definedName name="SCDPT1_041ENDINGG_15" localSheetId="0">GMIC_22A_SCDPT1!$S$66</definedName>
    <definedName name="SCDPT1_041ENDINGG_16" localSheetId="0">GMIC_22A_SCDPT1!$T$66</definedName>
    <definedName name="SCDPT1_041ENDINGG_17" localSheetId="0">GMIC_22A_SCDPT1!$U$66</definedName>
    <definedName name="SCDPT1_041ENDINGG_18" localSheetId="0">GMIC_22A_SCDPT1!$V$66</definedName>
    <definedName name="SCDPT1_041ENDINGG_19" localSheetId="0">GMIC_22A_SCDPT1!$W$66</definedName>
    <definedName name="SCDPT1_041ENDINGG_2" localSheetId="0">GMIC_22A_SCDPT1!$D$66</definedName>
    <definedName name="SCDPT1_041ENDINGG_20" localSheetId="0">GMIC_22A_SCDPT1!$X$66</definedName>
    <definedName name="SCDPT1_041ENDINGG_21" localSheetId="0">GMIC_22A_SCDPT1!$Y$66</definedName>
    <definedName name="SCDPT1_041ENDINGG_22" localSheetId="0">GMIC_22A_SCDPT1!$Z$66</definedName>
    <definedName name="SCDPT1_041ENDINGG_23" localSheetId="0">GMIC_22A_SCDPT1!$AA$66</definedName>
    <definedName name="SCDPT1_041ENDINGG_24" localSheetId="0">GMIC_22A_SCDPT1!$AB$66</definedName>
    <definedName name="SCDPT1_041ENDINGG_25" localSheetId="0">GMIC_22A_SCDPT1!$AC$66</definedName>
    <definedName name="SCDPT1_041ENDINGG_26" localSheetId="0">GMIC_22A_SCDPT1!$AD$66</definedName>
    <definedName name="SCDPT1_041ENDINGG_27" localSheetId="0">GMIC_22A_SCDPT1!$AE$66</definedName>
    <definedName name="SCDPT1_041ENDINGG_28" localSheetId="0">GMIC_22A_SCDPT1!$AF$66</definedName>
    <definedName name="SCDPT1_041ENDINGG_29" localSheetId="0">GMIC_22A_SCDPT1!$AG$66</definedName>
    <definedName name="SCDPT1_041ENDINGG_3" localSheetId="0">GMIC_22A_SCDPT1!$E$66</definedName>
    <definedName name="SCDPT1_041ENDINGG_30" localSheetId="0">GMIC_22A_SCDPT1!$AH$66</definedName>
    <definedName name="SCDPT1_041ENDINGG_31" localSheetId="0">GMIC_22A_SCDPT1!$AI$66</definedName>
    <definedName name="SCDPT1_041ENDINGG_32" localSheetId="0">GMIC_22A_SCDPT1!$AJ$66</definedName>
    <definedName name="SCDPT1_041ENDINGG_33" localSheetId="0">GMIC_22A_SCDPT1!$AK$66</definedName>
    <definedName name="SCDPT1_041ENDINGG_34" localSheetId="0">GMIC_22A_SCDPT1!$AL$66</definedName>
    <definedName name="SCDPT1_041ENDINGG_35" localSheetId="0">GMIC_22A_SCDPT1!$AM$66</definedName>
    <definedName name="SCDPT1_041ENDINGG_36" localSheetId="0">GMIC_22A_SCDPT1!$AN$66</definedName>
    <definedName name="SCDPT1_041ENDINGG_4" localSheetId="0">GMIC_22A_SCDPT1!$F$66</definedName>
    <definedName name="SCDPT1_041ENDINGG_5" localSheetId="0">GMIC_22A_SCDPT1!$G$66</definedName>
    <definedName name="SCDPT1_041ENDINGG_6.01" localSheetId="0">GMIC_22A_SCDPT1!$H$66</definedName>
    <definedName name="SCDPT1_041ENDINGG_6.02" localSheetId="0">GMIC_22A_SCDPT1!$I$66</definedName>
    <definedName name="SCDPT1_041ENDINGG_6.03" localSheetId="0">GMIC_22A_SCDPT1!$J$66</definedName>
    <definedName name="SCDPT1_041ENDINGG_7" localSheetId="0">GMIC_22A_SCDPT1!$K$66</definedName>
    <definedName name="SCDPT1_041ENDINGG_8" localSheetId="0">GMIC_22A_SCDPT1!$L$66</definedName>
    <definedName name="SCDPT1_041ENDINGG_9" localSheetId="0">GMIC_22A_SCDPT1!$M$66</definedName>
    <definedName name="SCDPT1_0420000000_Range" localSheetId="0">GMIC_22A_SCDPT1!$B$68:$AN$70</definedName>
    <definedName name="SCDPT1_0429999999_10" localSheetId="0">GMIC_22A_SCDPT1!$N$71</definedName>
    <definedName name="SCDPT1_0429999999_11" localSheetId="0">GMIC_22A_SCDPT1!$O$71</definedName>
    <definedName name="SCDPT1_0429999999_12" localSheetId="0">GMIC_22A_SCDPT1!$P$71</definedName>
    <definedName name="SCDPT1_0429999999_13" localSheetId="0">GMIC_22A_SCDPT1!$Q$71</definedName>
    <definedName name="SCDPT1_0429999999_14" localSheetId="0">GMIC_22A_SCDPT1!$R$71</definedName>
    <definedName name="SCDPT1_0429999999_15" localSheetId="0">GMIC_22A_SCDPT1!$S$71</definedName>
    <definedName name="SCDPT1_0429999999_19" localSheetId="0">GMIC_22A_SCDPT1!$W$71</definedName>
    <definedName name="SCDPT1_0429999999_20" localSheetId="0">GMIC_22A_SCDPT1!$X$71</definedName>
    <definedName name="SCDPT1_0429999999_7" localSheetId="0">GMIC_22A_SCDPT1!$K$71</definedName>
    <definedName name="SCDPT1_0429999999_9" localSheetId="0">GMIC_22A_SCDPT1!$M$71</definedName>
    <definedName name="SCDPT1_042BEGINNG_1" localSheetId="0">GMIC_22A_SCDPT1!$C$68</definedName>
    <definedName name="SCDPT1_042BEGINNG_10" localSheetId="0">GMIC_22A_SCDPT1!$N$68</definedName>
    <definedName name="SCDPT1_042BEGINNG_11" localSheetId="0">GMIC_22A_SCDPT1!$O$68</definedName>
    <definedName name="SCDPT1_042BEGINNG_12" localSheetId="0">GMIC_22A_SCDPT1!$P$68</definedName>
    <definedName name="SCDPT1_042BEGINNG_13" localSheetId="0">GMIC_22A_SCDPT1!$Q$68</definedName>
    <definedName name="SCDPT1_042BEGINNG_14" localSheetId="0">GMIC_22A_SCDPT1!$R$68</definedName>
    <definedName name="SCDPT1_042BEGINNG_15" localSheetId="0">GMIC_22A_SCDPT1!$S$68</definedName>
    <definedName name="SCDPT1_042BEGINNG_16" localSheetId="0">GMIC_22A_SCDPT1!$T$68</definedName>
    <definedName name="SCDPT1_042BEGINNG_17" localSheetId="0">GMIC_22A_SCDPT1!$U$68</definedName>
    <definedName name="SCDPT1_042BEGINNG_18" localSheetId="0">GMIC_22A_SCDPT1!$V$68</definedName>
    <definedName name="SCDPT1_042BEGINNG_19" localSheetId="0">GMIC_22A_SCDPT1!$W$68</definedName>
    <definedName name="SCDPT1_042BEGINNG_2" localSheetId="0">GMIC_22A_SCDPT1!$D$68</definedName>
    <definedName name="SCDPT1_042BEGINNG_20" localSheetId="0">GMIC_22A_SCDPT1!$X$68</definedName>
    <definedName name="SCDPT1_042BEGINNG_21" localSheetId="0">GMIC_22A_SCDPT1!$Y$68</definedName>
    <definedName name="SCDPT1_042BEGINNG_22" localSheetId="0">GMIC_22A_SCDPT1!$Z$68</definedName>
    <definedName name="SCDPT1_042BEGINNG_23" localSheetId="0">GMIC_22A_SCDPT1!$AA$68</definedName>
    <definedName name="SCDPT1_042BEGINNG_24" localSheetId="0">GMIC_22A_SCDPT1!$AB$68</definedName>
    <definedName name="SCDPT1_042BEGINNG_25" localSheetId="0">GMIC_22A_SCDPT1!$AC$68</definedName>
    <definedName name="SCDPT1_042BEGINNG_26" localSheetId="0">GMIC_22A_SCDPT1!$AD$68</definedName>
    <definedName name="SCDPT1_042BEGINNG_27" localSheetId="0">GMIC_22A_SCDPT1!$AE$68</definedName>
    <definedName name="SCDPT1_042BEGINNG_28" localSheetId="0">GMIC_22A_SCDPT1!$AF$68</definedName>
    <definedName name="SCDPT1_042BEGINNG_29" localSheetId="0">GMIC_22A_SCDPT1!$AG$68</definedName>
    <definedName name="SCDPT1_042BEGINNG_3" localSheetId="0">GMIC_22A_SCDPT1!$E$68</definedName>
    <definedName name="SCDPT1_042BEGINNG_30" localSheetId="0">GMIC_22A_SCDPT1!$AH$68</definedName>
    <definedName name="SCDPT1_042BEGINNG_31" localSheetId="0">GMIC_22A_SCDPT1!$AI$68</definedName>
    <definedName name="SCDPT1_042BEGINNG_32" localSheetId="0">GMIC_22A_SCDPT1!$AJ$68</definedName>
    <definedName name="SCDPT1_042BEGINNG_33" localSheetId="0">GMIC_22A_SCDPT1!$AK$68</definedName>
    <definedName name="SCDPT1_042BEGINNG_34" localSheetId="0">GMIC_22A_SCDPT1!$AL$68</definedName>
    <definedName name="SCDPT1_042BEGINNG_35" localSheetId="0">GMIC_22A_SCDPT1!$AM$68</definedName>
    <definedName name="SCDPT1_042BEGINNG_36" localSheetId="0">GMIC_22A_SCDPT1!$AN$68</definedName>
    <definedName name="SCDPT1_042BEGINNG_4" localSheetId="0">GMIC_22A_SCDPT1!$F$68</definedName>
    <definedName name="SCDPT1_042BEGINNG_5" localSheetId="0">GMIC_22A_SCDPT1!$G$68</definedName>
    <definedName name="SCDPT1_042BEGINNG_6.01" localSheetId="0">GMIC_22A_SCDPT1!$H$68</definedName>
    <definedName name="SCDPT1_042BEGINNG_6.02" localSheetId="0">GMIC_22A_SCDPT1!$I$68</definedName>
    <definedName name="SCDPT1_042BEGINNG_6.03" localSheetId="0">GMIC_22A_SCDPT1!$J$68</definedName>
    <definedName name="SCDPT1_042BEGINNG_7" localSheetId="0">GMIC_22A_SCDPT1!$K$68</definedName>
    <definedName name="SCDPT1_042BEGINNG_8" localSheetId="0">GMIC_22A_SCDPT1!$L$68</definedName>
    <definedName name="SCDPT1_042BEGINNG_9" localSheetId="0">GMIC_22A_SCDPT1!$M$68</definedName>
    <definedName name="SCDPT1_042ENDINGG_10" localSheetId="0">GMIC_22A_SCDPT1!$N$70</definedName>
    <definedName name="SCDPT1_042ENDINGG_11" localSheetId="0">GMIC_22A_SCDPT1!$O$70</definedName>
    <definedName name="SCDPT1_042ENDINGG_12" localSheetId="0">GMIC_22A_SCDPT1!$P$70</definedName>
    <definedName name="SCDPT1_042ENDINGG_13" localSheetId="0">GMIC_22A_SCDPT1!$Q$70</definedName>
    <definedName name="SCDPT1_042ENDINGG_14" localSheetId="0">GMIC_22A_SCDPT1!$R$70</definedName>
    <definedName name="SCDPT1_042ENDINGG_15" localSheetId="0">GMIC_22A_SCDPT1!$S$70</definedName>
    <definedName name="SCDPT1_042ENDINGG_16" localSheetId="0">GMIC_22A_SCDPT1!$T$70</definedName>
    <definedName name="SCDPT1_042ENDINGG_17" localSheetId="0">GMIC_22A_SCDPT1!$U$70</definedName>
    <definedName name="SCDPT1_042ENDINGG_18" localSheetId="0">GMIC_22A_SCDPT1!$V$70</definedName>
    <definedName name="SCDPT1_042ENDINGG_19" localSheetId="0">GMIC_22A_SCDPT1!$W$70</definedName>
    <definedName name="SCDPT1_042ENDINGG_2" localSheetId="0">GMIC_22A_SCDPT1!$D$70</definedName>
    <definedName name="SCDPT1_042ENDINGG_20" localSheetId="0">GMIC_22A_SCDPT1!$X$70</definedName>
    <definedName name="SCDPT1_042ENDINGG_21" localSheetId="0">GMIC_22A_SCDPT1!$Y$70</definedName>
    <definedName name="SCDPT1_042ENDINGG_22" localSheetId="0">GMIC_22A_SCDPT1!$Z$70</definedName>
    <definedName name="SCDPT1_042ENDINGG_23" localSheetId="0">GMIC_22A_SCDPT1!$AA$70</definedName>
    <definedName name="SCDPT1_042ENDINGG_24" localSheetId="0">GMIC_22A_SCDPT1!$AB$70</definedName>
    <definedName name="SCDPT1_042ENDINGG_25" localSheetId="0">GMIC_22A_SCDPT1!$AC$70</definedName>
    <definedName name="SCDPT1_042ENDINGG_26" localSheetId="0">GMIC_22A_SCDPT1!$AD$70</definedName>
    <definedName name="SCDPT1_042ENDINGG_27" localSheetId="0">GMIC_22A_SCDPT1!$AE$70</definedName>
    <definedName name="SCDPT1_042ENDINGG_28" localSheetId="0">GMIC_22A_SCDPT1!$AF$70</definedName>
    <definedName name="SCDPT1_042ENDINGG_29" localSheetId="0">GMIC_22A_SCDPT1!$AG$70</definedName>
    <definedName name="SCDPT1_042ENDINGG_3" localSheetId="0">GMIC_22A_SCDPT1!$E$70</definedName>
    <definedName name="SCDPT1_042ENDINGG_30" localSheetId="0">GMIC_22A_SCDPT1!$AH$70</definedName>
    <definedName name="SCDPT1_042ENDINGG_31" localSheetId="0">GMIC_22A_SCDPT1!$AI$70</definedName>
    <definedName name="SCDPT1_042ENDINGG_32" localSheetId="0">GMIC_22A_SCDPT1!$AJ$70</definedName>
    <definedName name="SCDPT1_042ENDINGG_33" localSheetId="0">GMIC_22A_SCDPT1!$AK$70</definedName>
    <definedName name="SCDPT1_042ENDINGG_34" localSheetId="0">GMIC_22A_SCDPT1!$AL$70</definedName>
    <definedName name="SCDPT1_042ENDINGG_35" localSheetId="0">GMIC_22A_SCDPT1!$AM$70</definedName>
    <definedName name="SCDPT1_042ENDINGG_36" localSheetId="0">GMIC_22A_SCDPT1!$AN$70</definedName>
    <definedName name="SCDPT1_042ENDINGG_4" localSheetId="0">GMIC_22A_SCDPT1!$F$70</definedName>
    <definedName name="SCDPT1_042ENDINGG_5" localSheetId="0">GMIC_22A_SCDPT1!$G$70</definedName>
    <definedName name="SCDPT1_042ENDINGG_6.01" localSheetId="0">GMIC_22A_SCDPT1!$H$70</definedName>
    <definedName name="SCDPT1_042ENDINGG_6.02" localSheetId="0">GMIC_22A_SCDPT1!$I$70</definedName>
    <definedName name="SCDPT1_042ENDINGG_6.03" localSheetId="0">GMIC_22A_SCDPT1!$J$70</definedName>
    <definedName name="SCDPT1_042ENDINGG_7" localSheetId="0">GMIC_22A_SCDPT1!$K$70</definedName>
    <definedName name="SCDPT1_042ENDINGG_8" localSheetId="0">GMIC_22A_SCDPT1!$L$70</definedName>
    <definedName name="SCDPT1_042ENDINGG_9" localSheetId="0">GMIC_22A_SCDPT1!$M$70</definedName>
    <definedName name="SCDPT1_0430000000_Range" localSheetId="0">GMIC_22A_SCDPT1!$B$72:$AN$74</definedName>
    <definedName name="SCDPT1_0439999999_10" localSheetId="0">GMIC_22A_SCDPT1!$N$75</definedName>
    <definedName name="SCDPT1_0439999999_11" localSheetId="0">GMIC_22A_SCDPT1!$O$75</definedName>
    <definedName name="SCDPT1_0439999999_12" localSheetId="0">GMIC_22A_SCDPT1!$P$75</definedName>
    <definedName name="SCDPT1_0439999999_13" localSheetId="0">GMIC_22A_SCDPT1!$Q$75</definedName>
    <definedName name="SCDPT1_0439999999_14" localSheetId="0">GMIC_22A_SCDPT1!$R$75</definedName>
    <definedName name="SCDPT1_0439999999_15" localSheetId="0">GMIC_22A_SCDPT1!$S$75</definedName>
    <definedName name="SCDPT1_0439999999_19" localSheetId="0">GMIC_22A_SCDPT1!$W$75</definedName>
    <definedName name="SCDPT1_0439999999_20" localSheetId="0">GMIC_22A_SCDPT1!$X$75</definedName>
    <definedName name="SCDPT1_0439999999_7" localSheetId="0">GMIC_22A_SCDPT1!$K$75</definedName>
    <definedName name="SCDPT1_0439999999_9" localSheetId="0">GMIC_22A_SCDPT1!$M$75</definedName>
    <definedName name="SCDPT1_043BEGINNG_1" localSheetId="0">GMIC_22A_SCDPT1!$C$72</definedName>
    <definedName name="SCDPT1_043BEGINNG_10" localSheetId="0">GMIC_22A_SCDPT1!$N$72</definedName>
    <definedName name="SCDPT1_043BEGINNG_11" localSheetId="0">GMIC_22A_SCDPT1!$O$72</definedName>
    <definedName name="SCDPT1_043BEGINNG_12" localSheetId="0">GMIC_22A_SCDPT1!$P$72</definedName>
    <definedName name="SCDPT1_043BEGINNG_13" localSheetId="0">GMIC_22A_SCDPT1!$Q$72</definedName>
    <definedName name="SCDPT1_043BEGINNG_14" localSheetId="0">GMIC_22A_SCDPT1!$R$72</definedName>
    <definedName name="SCDPT1_043BEGINNG_15" localSheetId="0">GMIC_22A_SCDPT1!$S$72</definedName>
    <definedName name="SCDPT1_043BEGINNG_16" localSheetId="0">GMIC_22A_SCDPT1!$T$72</definedName>
    <definedName name="SCDPT1_043BEGINNG_17" localSheetId="0">GMIC_22A_SCDPT1!$U$72</definedName>
    <definedName name="SCDPT1_043BEGINNG_18" localSheetId="0">GMIC_22A_SCDPT1!$V$72</definedName>
    <definedName name="SCDPT1_043BEGINNG_19" localSheetId="0">GMIC_22A_SCDPT1!$W$72</definedName>
    <definedName name="SCDPT1_043BEGINNG_2" localSheetId="0">GMIC_22A_SCDPT1!$D$72</definedName>
    <definedName name="SCDPT1_043BEGINNG_20" localSheetId="0">GMIC_22A_SCDPT1!$X$72</definedName>
    <definedName name="SCDPT1_043BEGINNG_21" localSheetId="0">GMIC_22A_SCDPT1!$Y$72</definedName>
    <definedName name="SCDPT1_043BEGINNG_22" localSheetId="0">GMIC_22A_SCDPT1!$Z$72</definedName>
    <definedName name="SCDPT1_043BEGINNG_23" localSheetId="0">GMIC_22A_SCDPT1!$AA$72</definedName>
    <definedName name="SCDPT1_043BEGINNG_24" localSheetId="0">GMIC_22A_SCDPT1!$AB$72</definedName>
    <definedName name="SCDPT1_043BEGINNG_25" localSheetId="0">GMIC_22A_SCDPT1!$AC$72</definedName>
    <definedName name="SCDPT1_043BEGINNG_26" localSheetId="0">GMIC_22A_SCDPT1!$AD$72</definedName>
    <definedName name="SCDPT1_043BEGINNG_27" localSheetId="0">GMIC_22A_SCDPT1!$AE$72</definedName>
    <definedName name="SCDPT1_043BEGINNG_28" localSheetId="0">GMIC_22A_SCDPT1!$AF$72</definedName>
    <definedName name="SCDPT1_043BEGINNG_29" localSheetId="0">GMIC_22A_SCDPT1!$AG$72</definedName>
    <definedName name="SCDPT1_043BEGINNG_3" localSheetId="0">GMIC_22A_SCDPT1!$E$72</definedName>
    <definedName name="SCDPT1_043BEGINNG_30" localSheetId="0">GMIC_22A_SCDPT1!$AH$72</definedName>
    <definedName name="SCDPT1_043BEGINNG_31" localSheetId="0">GMIC_22A_SCDPT1!$AI$72</definedName>
    <definedName name="SCDPT1_043BEGINNG_32" localSheetId="0">GMIC_22A_SCDPT1!$AJ$72</definedName>
    <definedName name="SCDPT1_043BEGINNG_33" localSheetId="0">GMIC_22A_SCDPT1!$AK$72</definedName>
    <definedName name="SCDPT1_043BEGINNG_34" localSheetId="0">GMIC_22A_SCDPT1!$AL$72</definedName>
    <definedName name="SCDPT1_043BEGINNG_35" localSheetId="0">GMIC_22A_SCDPT1!$AM$72</definedName>
    <definedName name="SCDPT1_043BEGINNG_36" localSheetId="0">GMIC_22A_SCDPT1!$AN$72</definedName>
    <definedName name="SCDPT1_043BEGINNG_4" localSheetId="0">GMIC_22A_SCDPT1!$F$72</definedName>
    <definedName name="SCDPT1_043BEGINNG_5" localSheetId="0">GMIC_22A_SCDPT1!$G$72</definedName>
    <definedName name="SCDPT1_043BEGINNG_6.01" localSheetId="0">GMIC_22A_SCDPT1!$H$72</definedName>
    <definedName name="SCDPT1_043BEGINNG_6.02" localSheetId="0">GMIC_22A_SCDPT1!$I$72</definedName>
    <definedName name="SCDPT1_043BEGINNG_6.03" localSheetId="0">GMIC_22A_SCDPT1!$J$72</definedName>
    <definedName name="SCDPT1_043BEGINNG_7" localSheetId="0">GMIC_22A_SCDPT1!$K$72</definedName>
    <definedName name="SCDPT1_043BEGINNG_8" localSheetId="0">GMIC_22A_SCDPT1!$L$72</definedName>
    <definedName name="SCDPT1_043BEGINNG_9" localSheetId="0">GMIC_22A_SCDPT1!$M$72</definedName>
    <definedName name="SCDPT1_043ENDINGG_10" localSheetId="0">GMIC_22A_SCDPT1!$N$74</definedName>
    <definedName name="SCDPT1_043ENDINGG_11" localSheetId="0">GMIC_22A_SCDPT1!$O$74</definedName>
    <definedName name="SCDPT1_043ENDINGG_12" localSheetId="0">GMIC_22A_SCDPT1!$P$74</definedName>
    <definedName name="SCDPT1_043ENDINGG_13" localSheetId="0">GMIC_22A_SCDPT1!$Q$74</definedName>
    <definedName name="SCDPT1_043ENDINGG_14" localSheetId="0">GMIC_22A_SCDPT1!$R$74</definedName>
    <definedName name="SCDPT1_043ENDINGG_15" localSheetId="0">GMIC_22A_SCDPT1!$S$74</definedName>
    <definedName name="SCDPT1_043ENDINGG_16" localSheetId="0">GMIC_22A_SCDPT1!$T$74</definedName>
    <definedName name="SCDPT1_043ENDINGG_17" localSheetId="0">GMIC_22A_SCDPT1!$U$74</definedName>
    <definedName name="SCDPT1_043ENDINGG_18" localSheetId="0">GMIC_22A_SCDPT1!$V$74</definedName>
    <definedName name="SCDPT1_043ENDINGG_19" localSheetId="0">GMIC_22A_SCDPT1!$W$74</definedName>
    <definedName name="SCDPT1_043ENDINGG_2" localSheetId="0">GMIC_22A_SCDPT1!$D$74</definedName>
    <definedName name="SCDPT1_043ENDINGG_20" localSheetId="0">GMIC_22A_SCDPT1!$X$74</definedName>
    <definedName name="SCDPT1_043ENDINGG_21" localSheetId="0">GMIC_22A_SCDPT1!$Y$74</definedName>
    <definedName name="SCDPT1_043ENDINGG_22" localSheetId="0">GMIC_22A_SCDPT1!$Z$74</definedName>
    <definedName name="SCDPT1_043ENDINGG_23" localSheetId="0">GMIC_22A_SCDPT1!$AA$74</definedName>
    <definedName name="SCDPT1_043ENDINGG_24" localSheetId="0">GMIC_22A_SCDPT1!$AB$74</definedName>
    <definedName name="SCDPT1_043ENDINGG_25" localSheetId="0">GMIC_22A_SCDPT1!$AC$74</definedName>
    <definedName name="SCDPT1_043ENDINGG_26" localSheetId="0">GMIC_22A_SCDPT1!$AD$74</definedName>
    <definedName name="SCDPT1_043ENDINGG_27" localSheetId="0">GMIC_22A_SCDPT1!$AE$74</definedName>
    <definedName name="SCDPT1_043ENDINGG_28" localSheetId="0">GMIC_22A_SCDPT1!$AF$74</definedName>
    <definedName name="SCDPT1_043ENDINGG_29" localSheetId="0">GMIC_22A_SCDPT1!$AG$74</definedName>
    <definedName name="SCDPT1_043ENDINGG_3" localSheetId="0">GMIC_22A_SCDPT1!$E$74</definedName>
    <definedName name="SCDPT1_043ENDINGG_30" localSheetId="0">GMIC_22A_SCDPT1!$AH$74</definedName>
    <definedName name="SCDPT1_043ENDINGG_31" localSheetId="0">GMIC_22A_SCDPT1!$AI$74</definedName>
    <definedName name="SCDPT1_043ENDINGG_32" localSheetId="0">GMIC_22A_SCDPT1!$AJ$74</definedName>
    <definedName name="SCDPT1_043ENDINGG_33" localSheetId="0">GMIC_22A_SCDPT1!$AK$74</definedName>
    <definedName name="SCDPT1_043ENDINGG_34" localSheetId="0">GMIC_22A_SCDPT1!$AL$74</definedName>
    <definedName name="SCDPT1_043ENDINGG_35" localSheetId="0">GMIC_22A_SCDPT1!$AM$74</definedName>
    <definedName name="SCDPT1_043ENDINGG_36" localSheetId="0">GMIC_22A_SCDPT1!$AN$74</definedName>
    <definedName name="SCDPT1_043ENDINGG_4" localSheetId="0">GMIC_22A_SCDPT1!$F$74</definedName>
    <definedName name="SCDPT1_043ENDINGG_5" localSheetId="0">GMIC_22A_SCDPT1!$G$74</definedName>
    <definedName name="SCDPT1_043ENDINGG_6.01" localSheetId="0">GMIC_22A_SCDPT1!$H$74</definedName>
    <definedName name="SCDPT1_043ENDINGG_6.02" localSheetId="0">GMIC_22A_SCDPT1!$I$74</definedName>
    <definedName name="SCDPT1_043ENDINGG_6.03" localSheetId="0">GMIC_22A_SCDPT1!$J$74</definedName>
    <definedName name="SCDPT1_043ENDINGG_7" localSheetId="0">GMIC_22A_SCDPT1!$K$74</definedName>
    <definedName name="SCDPT1_043ENDINGG_8" localSheetId="0">GMIC_22A_SCDPT1!$L$74</definedName>
    <definedName name="SCDPT1_043ENDINGG_9" localSheetId="0">GMIC_22A_SCDPT1!$M$74</definedName>
    <definedName name="SCDPT1_0440000000_Range" localSheetId="0">GMIC_22A_SCDPT1!$B$76:$AN$78</definedName>
    <definedName name="SCDPT1_0449999999_10" localSheetId="0">GMIC_22A_SCDPT1!$N$79</definedName>
    <definedName name="SCDPT1_0449999999_11" localSheetId="0">GMIC_22A_SCDPT1!$O$79</definedName>
    <definedName name="SCDPT1_0449999999_12" localSheetId="0">GMIC_22A_SCDPT1!$P$79</definedName>
    <definedName name="SCDPT1_0449999999_13" localSheetId="0">GMIC_22A_SCDPT1!$Q$79</definedName>
    <definedName name="SCDPT1_0449999999_14" localSheetId="0">GMIC_22A_SCDPT1!$R$79</definedName>
    <definedName name="SCDPT1_0449999999_15" localSheetId="0">GMIC_22A_SCDPT1!$S$79</definedName>
    <definedName name="SCDPT1_0449999999_19" localSheetId="0">GMIC_22A_SCDPT1!$W$79</definedName>
    <definedName name="SCDPT1_0449999999_20" localSheetId="0">GMIC_22A_SCDPT1!$X$79</definedName>
    <definedName name="SCDPT1_0449999999_7" localSheetId="0">GMIC_22A_SCDPT1!$K$79</definedName>
    <definedName name="SCDPT1_0449999999_9" localSheetId="0">GMIC_22A_SCDPT1!$M$79</definedName>
    <definedName name="SCDPT1_044BEGINNG_1" localSheetId="0">GMIC_22A_SCDPT1!$C$76</definedName>
    <definedName name="SCDPT1_044BEGINNG_10" localSheetId="0">GMIC_22A_SCDPT1!$N$76</definedName>
    <definedName name="SCDPT1_044BEGINNG_11" localSheetId="0">GMIC_22A_SCDPT1!$O$76</definedName>
    <definedName name="SCDPT1_044BEGINNG_12" localSheetId="0">GMIC_22A_SCDPT1!$P$76</definedName>
    <definedName name="SCDPT1_044BEGINNG_13" localSheetId="0">GMIC_22A_SCDPT1!$Q$76</definedName>
    <definedName name="SCDPT1_044BEGINNG_14" localSheetId="0">GMIC_22A_SCDPT1!$R$76</definedName>
    <definedName name="SCDPT1_044BEGINNG_15" localSheetId="0">GMIC_22A_SCDPT1!$S$76</definedName>
    <definedName name="SCDPT1_044BEGINNG_16" localSheetId="0">GMIC_22A_SCDPT1!$T$76</definedName>
    <definedName name="SCDPT1_044BEGINNG_17" localSheetId="0">GMIC_22A_SCDPT1!$U$76</definedName>
    <definedName name="SCDPT1_044BEGINNG_18" localSheetId="0">GMIC_22A_SCDPT1!$V$76</definedName>
    <definedName name="SCDPT1_044BEGINNG_19" localSheetId="0">GMIC_22A_SCDPT1!$W$76</definedName>
    <definedName name="SCDPT1_044BEGINNG_2" localSheetId="0">GMIC_22A_SCDPT1!$D$76</definedName>
    <definedName name="SCDPT1_044BEGINNG_20" localSheetId="0">GMIC_22A_SCDPT1!$X$76</definedName>
    <definedName name="SCDPT1_044BEGINNG_21" localSheetId="0">GMIC_22A_SCDPT1!$Y$76</definedName>
    <definedName name="SCDPT1_044BEGINNG_22" localSheetId="0">GMIC_22A_SCDPT1!$Z$76</definedName>
    <definedName name="SCDPT1_044BEGINNG_23" localSheetId="0">GMIC_22A_SCDPT1!$AA$76</definedName>
    <definedName name="SCDPT1_044BEGINNG_24" localSheetId="0">GMIC_22A_SCDPT1!$AB$76</definedName>
    <definedName name="SCDPT1_044BEGINNG_25" localSheetId="0">GMIC_22A_SCDPT1!$AC$76</definedName>
    <definedName name="SCDPT1_044BEGINNG_26" localSheetId="0">GMIC_22A_SCDPT1!$AD$76</definedName>
    <definedName name="SCDPT1_044BEGINNG_27" localSheetId="0">GMIC_22A_SCDPT1!$AE$76</definedName>
    <definedName name="SCDPT1_044BEGINNG_28" localSheetId="0">GMIC_22A_SCDPT1!$AF$76</definedName>
    <definedName name="SCDPT1_044BEGINNG_29" localSheetId="0">GMIC_22A_SCDPT1!$AG$76</definedName>
    <definedName name="SCDPT1_044BEGINNG_3" localSheetId="0">GMIC_22A_SCDPT1!$E$76</definedName>
    <definedName name="SCDPT1_044BEGINNG_30" localSheetId="0">GMIC_22A_SCDPT1!$AH$76</definedName>
    <definedName name="SCDPT1_044BEGINNG_31" localSheetId="0">GMIC_22A_SCDPT1!$AI$76</definedName>
    <definedName name="SCDPT1_044BEGINNG_32" localSheetId="0">GMIC_22A_SCDPT1!$AJ$76</definedName>
    <definedName name="SCDPT1_044BEGINNG_33" localSheetId="0">GMIC_22A_SCDPT1!$AK$76</definedName>
    <definedName name="SCDPT1_044BEGINNG_34" localSheetId="0">GMIC_22A_SCDPT1!$AL$76</definedName>
    <definedName name="SCDPT1_044BEGINNG_35" localSheetId="0">GMIC_22A_SCDPT1!$AM$76</definedName>
    <definedName name="SCDPT1_044BEGINNG_36" localSheetId="0">GMIC_22A_SCDPT1!$AN$76</definedName>
    <definedName name="SCDPT1_044BEGINNG_4" localSheetId="0">GMIC_22A_SCDPT1!$F$76</definedName>
    <definedName name="SCDPT1_044BEGINNG_5" localSheetId="0">GMIC_22A_SCDPT1!$G$76</definedName>
    <definedName name="SCDPT1_044BEGINNG_6.01" localSheetId="0">GMIC_22A_SCDPT1!$H$76</definedName>
    <definedName name="SCDPT1_044BEGINNG_6.02" localSheetId="0">GMIC_22A_SCDPT1!$I$76</definedName>
    <definedName name="SCDPT1_044BEGINNG_6.03" localSheetId="0">GMIC_22A_SCDPT1!$J$76</definedName>
    <definedName name="SCDPT1_044BEGINNG_7" localSheetId="0">GMIC_22A_SCDPT1!$K$76</definedName>
    <definedName name="SCDPT1_044BEGINNG_8" localSheetId="0">GMIC_22A_SCDPT1!$L$76</definedName>
    <definedName name="SCDPT1_044BEGINNG_9" localSheetId="0">GMIC_22A_SCDPT1!$M$76</definedName>
    <definedName name="SCDPT1_044ENDINGG_10" localSheetId="0">GMIC_22A_SCDPT1!$N$78</definedName>
    <definedName name="SCDPT1_044ENDINGG_11" localSheetId="0">GMIC_22A_SCDPT1!$O$78</definedName>
    <definedName name="SCDPT1_044ENDINGG_12" localSheetId="0">GMIC_22A_SCDPT1!$P$78</definedName>
    <definedName name="SCDPT1_044ENDINGG_13" localSheetId="0">GMIC_22A_SCDPT1!$Q$78</definedName>
    <definedName name="SCDPT1_044ENDINGG_14" localSheetId="0">GMIC_22A_SCDPT1!$R$78</definedName>
    <definedName name="SCDPT1_044ENDINGG_15" localSheetId="0">GMIC_22A_SCDPT1!$S$78</definedName>
    <definedName name="SCDPT1_044ENDINGG_16" localSheetId="0">GMIC_22A_SCDPT1!$T$78</definedName>
    <definedName name="SCDPT1_044ENDINGG_17" localSheetId="0">GMIC_22A_SCDPT1!$U$78</definedName>
    <definedName name="SCDPT1_044ENDINGG_18" localSheetId="0">GMIC_22A_SCDPT1!$V$78</definedName>
    <definedName name="SCDPT1_044ENDINGG_19" localSheetId="0">GMIC_22A_SCDPT1!$W$78</definedName>
    <definedName name="SCDPT1_044ENDINGG_2" localSheetId="0">GMIC_22A_SCDPT1!$D$78</definedName>
    <definedName name="SCDPT1_044ENDINGG_20" localSheetId="0">GMIC_22A_SCDPT1!$X$78</definedName>
    <definedName name="SCDPT1_044ENDINGG_21" localSheetId="0">GMIC_22A_SCDPT1!$Y$78</definedName>
    <definedName name="SCDPT1_044ENDINGG_22" localSheetId="0">GMIC_22A_SCDPT1!$Z$78</definedName>
    <definedName name="SCDPT1_044ENDINGG_23" localSheetId="0">GMIC_22A_SCDPT1!$AA$78</definedName>
    <definedName name="SCDPT1_044ENDINGG_24" localSheetId="0">GMIC_22A_SCDPT1!$AB$78</definedName>
    <definedName name="SCDPT1_044ENDINGG_25" localSheetId="0">GMIC_22A_SCDPT1!$AC$78</definedName>
    <definedName name="SCDPT1_044ENDINGG_26" localSheetId="0">GMIC_22A_SCDPT1!$AD$78</definedName>
    <definedName name="SCDPT1_044ENDINGG_27" localSheetId="0">GMIC_22A_SCDPT1!$AE$78</definedName>
    <definedName name="SCDPT1_044ENDINGG_28" localSheetId="0">GMIC_22A_SCDPT1!$AF$78</definedName>
    <definedName name="SCDPT1_044ENDINGG_29" localSheetId="0">GMIC_22A_SCDPT1!$AG$78</definedName>
    <definedName name="SCDPT1_044ENDINGG_3" localSheetId="0">GMIC_22A_SCDPT1!$E$78</definedName>
    <definedName name="SCDPT1_044ENDINGG_30" localSheetId="0">GMIC_22A_SCDPT1!$AH$78</definedName>
    <definedName name="SCDPT1_044ENDINGG_31" localSheetId="0">GMIC_22A_SCDPT1!$AI$78</definedName>
    <definedName name="SCDPT1_044ENDINGG_32" localSheetId="0">GMIC_22A_SCDPT1!$AJ$78</definedName>
    <definedName name="SCDPT1_044ENDINGG_33" localSheetId="0">GMIC_22A_SCDPT1!$AK$78</definedName>
    <definedName name="SCDPT1_044ENDINGG_34" localSheetId="0">GMIC_22A_SCDPT1!$AL$78</definedName>
    <definedName name="SCDPT1_044ENDINGG_35" localSheetId="0">GMIC_22A_SCDPT1!$AM$78</definedName>
    <definedName name="SCDPT1_044ENDINGG_36" localSheetId="0">GMIC_22A_SCDPT1!$AN$78</definedName>
    <definedName name="SCDPT1_044ENDINGG_4" localSheetId="0">GMIC_22A_SCDPT1!$F$78</definedName>
    <definedName name="SCDPT1_044ENDINGG_5" localSheetId="0">GMIC_22A_SCDPT1!$G$78</definedName>
    <definedName name="SCDPT1_044ENDINGG_6.01" localSheetId="0">GMIC_22A_SCDPT1!$H$78</definedName>
    <definedName name="SCDPT1_044ENDINGG_6.02" localSheetId="0">GMIC_22A_SCDPT1!$I$78</definedName>
    <definedName name="SCDPT1_044ENDINGG_6.03" localSheetId="0">GMIC_22A_SCDPT1!$J$78</definedName>
    <definedName name="SCDPT1_044ENDINGG_7" localSheetId="0">GMIC_22A_SCDPT1!$K$78</definedName>
    <definedName name="SCDPT1_044ENDINGG_8" localSheetId="0">GMIC_22A_SCDPT1!$L$78</definedName>
    <definedName name="SCDPT1_044ENDINGG_9" localSheetId="0">GMIC_22A_SCDPT1!$M$78</definedName>
    <definedName name="SCDPT1_0509999999_10" localSheetId="0">GMIC_22A_SCDPT1!$N$80</definedName>
    <definedName name="SCDPT1_0509999999_11" localSheetId="0">GMIC_22A_SCDPT1!$O$80</definedName>
    <definedName name="SCDPT1_0509999999_12" localSheetId="0">GMIC_22A_SCDPT1!$P$80</definedName>
    <definedName name="SCDPT1_0509999999_13" localSheetId="0">GMIC_22A_SCDPT1!$Q$80</definedName>
    <definedName name="SCDPT1_0509999999_14" localSheetId="0">GMIC_22A_SCDPT1!$R$80</definedName>
    <definedName name="SCDPT1_0509999999_15" localSheetId="0">GMIC_22A_SCDPT1!$S$80</definedName>
    <definedName name="SCDPT1_0509999999_19" localSheetId="0">GMIC_22A_SCDPT1!$W$80</definedName>
    <definedName name="SCDPT1_0509999999_20" localSheetId="0">GMIC_22A_SCDPT1!$X$80</definedName>
    <definedName name="SCDPT1_0509999999_7" localSheetId="0">GMIC_22A_SCDPT1!$K$80</definedName>
    <definedName name="SCDPT1_0509999999_9" localSheetId="0">GMIC_22A_SCDPT1!$M$80</definedName>
    <definedName name="SCDPT1_0610000000_Range" localSheetId="0">GMIC_22A_SCDPT1!$B$81:$AN$93</definedName>
    <definedName name="SCDPT1_0610000001_1" localSheetId="0">GMIC_22A_SCDPT1!$C$82</definedName>
    <definedName name="SCDPT1_0610000001_10" localSheetId="0">GMIC_22A_SCDPT1!$N$82</definedName>
    <definedName name="SCDPT1_0610000001_11" localSheetId="0">GMIC_22A_SCDPT1!$O$82</definedName>
    <definedName name="SCDPT1_0610000001_12" localSheetId="0">GMIC_22A_SCDPT1!$P$82</definedName>
    <definedName name="SCDPT1_0610000001_13" localSheetId="0">GMIC_22A_SCDPT1!$Q$82</definedName>
    <definedName name="SCDPT1_0610000001_14" localSheetId="0">GMIC_22A_SCDPT1!$R$82</definedName>
    <definedName name="SCDPT1_0610000001_15" localSheetId="0">GMIC_22A_SCDPT1!$S$82</definedName>
    <definedName name="SCDPT1_0610000001_16" localSheetId="0">GMIC_22A_SCDPT1!$T$82</definedName>
    <definedName name="SCDPT1_0610000001_17" localSheetId="0">GMIC_22A_SCDPT1!$U$82</definedName>
    <definedName name="SCDPT1_0610000001_18" localSheetId="0">GMIC_22A_SCDPT1!$V$82</definedName>
    <definedName name="SCDPT1_0610000001_19" localSheetId="0">GMIC_22A_SCDPT1!$W$82</definedName>
    <definedName name="SCDPT1_0610000001_2" localSheetId="0">GMIC_22A_SCDPT1!$D$82</definedName>
    <definedName name="SCDPT1_0610000001_20" localSheetId="0">GMIC_22A_SCDPT1!$X$82</definedName>
    <definedName name="SCDPT1_0610000001_21" localSheetId="0">GMIC_22A_SCDPT1!$Y$82</definedName>
    <definedName name="SCDPT1_0610000001_22" localSheetId="0">GMIC_22A_SCDPT1!$Z$82</definedName>
    <definedName name="SCDPT1_0610000001_23" localSheetId="0">GMIC_22A_SCDPT1!$AA$82</definedName>
    <definedName name="SCDPT1_0610000001_24" localSheetId="0">GMIC_22A_SCDPT1!$AB$82</definedName>
    <definedName name="SCDPT1_0610000001_25" localSheetId="0">GMIC_22A_SCDPT1!$AC$82</definedName>
    <definedName name="SCDPT1_0610000001_27" localSheetId="0">GMIC_22A_SCDPT1!$AE$82</definedName>
    <definedName name="SCDPT1_0610000001_28" localSheetId="0">GMIC_22A_SCDPT1!$AF$82</definedName>
    <definedName name="SCDPT1_0610000001_29" localSheetId="0">GMIC_22A_SCDPT1!$AG$82</definedName>
    <definedName name="SCDPT1_0610000001_3" localSheetId="0">GMIC_22A_SCDPT1!$E$82</definedName>
    <definedName name="SCDPT1_0610000001_30" localSheetId="0">GMIC_22A_SCDPT1!$AH$82</definedName>
    <definedName name="SCDPT1_0610000001_31" localSheetId="0">GMIC_22A_SCDPT1!$AI$82</definedName>
    <definedName name="SCDPT1_0610000001_32" localSheetId="0">GMIC_22A_SCDPT1!$AJ$82</definedName>
    <definedName name="SCDPT1_0610000001_33" localSheetId="0">GMIC_22A_SCDPT1!$AK$82</definedName>
    <definedName name="SCDPT1_0610000001_34" localSheetId="0">GMIC_22A_SCDPT1!$AL$82</definedName>
    <definedName name="SCDPT1_0610000001_35" localSheetId="0">GMIC_22A_SCDPT1!$AM$82</definedName>
    <definedName name="SCDPT1_0610000001_36" localSheetId="0">GMIC_22A_SCDPT1!$AN$82</definedName>
    <definedName name="SCDPT1_0610000001_4" localSheetId="0">GMIC_22A_SCDPT1!$F$82</definedName>
    <definedName name="SCDPT1_0610000001_5" localSheetId="0">GMIC_22A_SCDPT1!$G$82</definedName>
    <definedName name="SCDPT1_0610000001_6.01" localSheetId="0">GMIC_22A_SCDPT1!$H$82</definedName>
    <definedName name="SCDPT1_0610000001_6.02" localSheetId="0">GMIC_22A_SCDPT1!$I$82</definedName>
    <definedName name="SCDPT1_0610000001_6.03" localSheetId="0">GMIC_22A_SCDPT1!$J$82</definedName>
    <definedName name="SCDPT1_0610000001_7" localSheetId="0">GMIC_22A_SCDPT1!$K$82</definedName>
    <definedName name="SCDPT1_0610000001_8" localSheetId="0">GMIC_22A_SCDPT1!$L$82</definedName>
    <definedName name="SCDPT1_0610000001_9" localSheetId="0">GMIC_22A_SCDPT1!$M$82</definedName>
    <definedName name="SCDPT1_0619999999_10" localSheetId="0">GMIC_22A_SCDPT1!$N$94</definedName>
    <definedName name="SCDPT1_0619999999_11" localSheetId="0">GMIC_22A_SCDPT1!$O$94</definedName>
    <definedName name="SCDPT1_0619999999_12" localSheetId="0">GMIC_22A_SCDPT1!$P$94</definedName>
    <definedName name="SCDPT1_0619999999_13" localSheetId="0">GMIC_22A_SCDPT1!$Q$94</definedName>
    <definedName name="SCDPT1_0619999999_14" localSheetId="0">GMIC_22A_SCDPT1!$R$94</definedName>
    <definedName name="SCDPT1_0619999999_15" localSheetId="0">GMIC_22A_SCDPT1!$S$94</definedName>
    <definedName name="SCDPT1_0619999999_19" localSheetId="0">GMIC_22A_SCDPT1!$W$94</definedName>
    <definedName name="SCDPT1_0619999999_20" localSheetId="0">GMIC_22A_SCDPT1!$X$94</definedName>
    <definedName name="SCDPT1_0619999999_7" localSheetId="0">GMIC_22A_SCDPT1!$K$94</definedName>
    <definedName name="SCDPT1_0619999999_9" localSheetId="0">GMIC_22A_SCDPT1!$M$94</definedName>
    <definedName name="SCDPT1_061BEGINNG_1" localSheetId="0">GMIC_22A_SCDPT1!$C$81</definedName>
    <definedName name="SCDPT1_061BEGINNG_10" localSheetId="0">GMIC_22A_SCDPT1!$N$81</definedName>
    <definedName name="SCDPT1_061BEGINNG_11" localSheetId="0">GMIC_22A_SCDPT1!$O$81</definedName>
    <definedName name="SCDPT1_061BEGINNG_12" localSheetId="0">GMIC_22A_SCDPT1!$P$81</definedName>
    <definedName name="SCDPT1_061BEGINNG_13" localSheetId="0">GMIC_22A_SCDPT1!$Q$81</definedName>
    <definedName name="SCDPT1_061BEGINNG_14" localSheetId="0">GMIC_22A_SCDPT1!$R$81</definedName>
    <definedName name="SCDPT1_061BEGINNG_15" localSheetId="0">GMIC_22A_SCDPT1!$S$81</definedName>
    <definedName name="SCDPT1_061BEGINNG_16" localSheetId="0">GMIC_22A_SCDPT1!$T$81</definedName>
    <definedName name="SCDPT1_061BEGINNG_17" localSheetId="0">GMIC_22A_SCDPT1!$U$81</definedName>
    <definedName name="SCDPT1_061BEGINNG_18" localSheetId="0">GMIC_22A_SCDPT1!$V$81</definedName>
    <definedName name="SCDPT1_061BEGINNG_19" localSheetId="0">GMIC_22A_SCDPT1!$W$81</definedName>
    <definedName name="SCDPT1_061BEGINNG_2" localSheetId="0">GMIC_22A_SCDPT1!$D$81</definedName>
    <definedName name="SCDPT1_061BEGINNG_20" localSheetId="0">GMIC_22A_SCDPT1!$X$81</definedName>
    <definedName name="SCDPT1_061BEGINNG_21" localSheetId="0">GMIC_22A_SCDPT1!$Y$81</definedName>
    <definedName name="SCDPT1_061BEGINNG_22" localSheetId="0">GMIC_22A_SCDPT1!$Z$81</definedName>
    <definedName name="SCDPT1_061BEGINNG_23" localSheetId="0">GMIC_22A_SCDPT1!$AA$81</definedName>
    <definedName name="SCDPT1_061BEGINNG_24" localSheetId="0">GMIC_22A_SCDPT1!$AB$81</definedName>
    <definedName name="SCDPT1_061BEGINNG_25" localSheetId="0">GMIC_22A_SCDPT1!$AC$81</definedName>
    <definedName name="SCDPT1_061BEGINNG_26" localSheetId="0">GMIC_22A_SCDPT1!$AD$81</definedName>
    <definedName name="SCDPT1_061BEGINNG_27" localSheetId="0">GMIC_22A_SCDPT1!$AE$81</definedName>
    <definedName name="SCDPT1_061BEGINNG_28" localSheetId="0">GMIC_22A_SCDPT1!$AF$81</definedName>
    <definedName name="SCDPT1_061BEGINNG_29" localSheetId="0">GMIC_22A_SCDPT1!$AG$81</definedName>
    <definedName name="SCDPT1_061BEGINNG_3" localSheetId="0">GMIC_22A_SCDPT1!$E$81</definedName>
    <definedName name="SCDPT1_061BEGINNG_30" localSheetId="0">GMIC_22A_SCDPT1!$AH$81</definedName>
    <definedName name="SCDPT1_061BEGINNG_31" localSheetId="0">GMIC_22A_SCDPT1!$AI$81</definedName>
    <definedName name="SCDPT1_061BEGINNG_32" localSheetId="0">GMIC_22A_SCDPT1!$AJ$81</definedName>
    <definedName name="SCDPT1_061BEGINNG_33" localSheetId="0">GMIC_22A_SCDPT1!$AK$81</definedName>
    <definedName name="SCDPT1_061BEGINNG_34" localSheetId="0">GMIC_22A_SCDPT1!$AL$81</definedName>
    <definedName name="SCDPT1_061BEGINNG_35" localSheetId="0">GMIC_22A_SCDPT1!$AM$81</definedName>
    <definedName name="SCDPT1_061BEGINNG_36" localSheetId="0">GMIC_22A_SCDPT1!$AN$81</definedName>
    <definedName name="SCDPT1_061BEGINNG_4" localSheetId="0">GMIC_22A_SCDPT1!$F$81</definedName>
    <definedName name="SCDPT1_061BEGINNG_5" localSheetId="0">GMIC_22A_SCDPT1!$G$81</definedName>
    <definedName name="SCDPT1_061BEGINNG_6.01" localSheetId="0">GMIC_22A_SCDPT1!$H$81</definedName>
    <definedName name="SCDPT1_061BEGINNG_6.02" localSheetId="0">GMIC_22A_SCDPT1!$I$81</definedName>
    <definedName name="SCDPT1_061BEGINNG_6.03" localSheetId="0">GMIC_22A_SCDPT1!$J$81</definedName>
    <definedName name="SCDPT1_061BEGINNG_7" localSheetId="0">GMIC_22A_SCDPT1!$K$81</definedName>
    <definedName name="SCDPT1_061BEGINNG_8" localSheetId="0">GMIC_22A_SCDPT1!$L$81</definedName>
    <definedName name="SCDPT1_061BEGINNG_9" localSheetId="0">GMIC_22A_SCDPT1!$M$81</definedName>
    <definedName name="SCDPT1_061ENDINGG_10" localSheetId="0">GMIC_22A_SCDPT1!$N$93</definedName>
    <definedName name="SCDPT1_061ENDINGG_11" localSheetId="0">GMIC_22A_SCDPT1!$O$93</definedName>
    <definedName name="SCDPT1_061ENDINGG_12" localSheetId="0">GMIC_22A_SCDPT1!$P$93</definedName>
    <definedName name="SCDPT1_061ENDINGG_13" localSheetId="0">GMIC_22A_SCDPT1!$Q$93</definedName>
    <definedName name="SCDPT1_061ENDINGG_14" localSheetId="0">GMIC_22A_SCDPT1!$R$93</definedName>
    <definedName name="SCDPT1_061ENDINGG_15" localSheetId="0">GMIC_22A_SCDPT1!$S$93</definedName>
    <definedName name="SCDPT1_061ENDINGG_16" localSheetId="0">GMIC_22A_SCDPT1!$T$93</definedName>
    <definedName name="SCDPT1_061ENDINGG_17" localSheetId="0">GMIC_22A_SCDPT1!$U$93</definedName>
    <definedName name="SCDPT1_061ENDINGG_18" localSheetId="0">GMIC_22A_SCDPT1!$V$93</definedName>
    <definedName name="SCDPT1_061ENDINGG_19" localSheetId="0">GMIC_22A_SCDPT1!$W$93</definedName>
    <definedName name="SCDPT1_061ENDINGG_2" localSheetId="0">GMIC_22A_SCDPT1!$D$93</definedName>
    <definedName name="SCDPT1_061ENDINGG_20" localSheetId="0">GMIC_22A_SCDPT1!$X$93</definedName>
    <definedName name="SCDPT1_061ENDINGG_21" localSheetId="0">GMIC_22A_SCDPT1!$Y$93</definedName>
    <definedName name="SCDPT1_061ENDINGG_22" localSheetId="0">GMIC_22A_SCDPT1!$Z$93</definedName>
    <definedName name="SCDPT1_061ENDINGG_23" localSheetId="0">GMIC_22A_SCDPT1!$AA$93</definedName>
    <definedName name="SCDPT1_061ENDINGG_24" localSheetId="0">GMIC_22A_SCDPT1!$AB$93</definedName>
    <definedName name="SCDPT1_061ENDINGG_25" localSheetId="0">GMIC_22A_SCDPT1!$AC$93</definedName>
    <definedName name="SCDPT1_061ENDINGG_26" localSheetId="0">GMIC_22A_SCDPT1!$AD$93</definedName>
    <definedName name="SCDPT1_061ENDINGG_27" localSheetId="0">GMIC_22A_SCDPT1!$AE$93</definedName>
    <definedName name="SCDPT1_061ENDINGG_28" localSheetId="0">GMIC_22A_SCDPT1!$AF$93</definedName>
    <definedName name="SCDPT1_061ENDINGG_29" localSheetId="0">GMIC_22A_SCDPT1!$AG$93</definedName>
    <definedName name="SCDPT1_061ENDINGG_3" localSheetId="0">GMIC_22A_SCDPT1!$E$93</definedName>
    <definedName name="SCDPT1_061ENDINGG_30" localSheetId="0">GMIC_22A_SCDPT1!$AH$93</definedName>
    <definedName name="SCDPT1_061ENDINGG_31" localSheetId="0">GMIC_22A_SCDPT1!$AI$93</definedName>
    <definedName name="SCDPT1_061ENDINGG_32" localSheetId="0">GMIC_22A_SCDPT1!$AJ$93</definedName>
    <definedName name="SCDPT1_061ENDINGG_33" localSheetId="0">GMIC_22A_SCDPT1!$AK$93</definedName>
    <definedName name="SCDPT1_061ENDINGG_34" localSheetId="0">GMIC_22A_SCDPT1!$AL$93</definedName>
    <definedName name="SCDPT1_061ENDINGG_35" localSheetId="0">GMIC_22A_SCDPT1!$AM$93</definedName>
    <definedName name="SCDPT1_061ENDINGG_36" localSheetId="0">GMIC_22A_SCDPT1!$AN$93</definedName>
    <definedName name="SCDPT1_061ENDINGG_4" localSheetId="0">GMIC_22A_SCDPT1!$F$93</definedName>
    <definedName name="SCDPT1_061ENDINGG_5" localSheetId="0">GMIC_22A_SCDPT1!$G$93</definedName>
    <definedName name="SCDPT1_061ENDINGG_6.01" localSheetId="0">GMIC_22A_SCDPT1!$H$93</definedName>
    <definedName name="SCDPT1_061ENDINGG_6.02" localSheetId="0">GMIC_22A_SCDPT1!$I$93</definedName>
    <definedName name="SCDPT1_061ENDINGG_6.03" localSheetId="0">GMIC_22A_SCDPT1!$J$93</definedName>
    <definedName name="SCDPT1_061ENDINGG_7" localSheetId="0">GMIC_22A_SCDPT1!$K$93</definedName>
    <definedName name="SCDPT1_061ENDINGG_8" localSheetId="0">GMIC_22A_SCDPT1!$L$93</definedName>
    <definedName name="SCDPT1_061ENDINGG_9" localSheetId="0">GMIC_22A_SCDPT1!$M$93</definedName>
    <definedName name="SCDPT1_0620000000_Range" localSheetId="0">GMIC_22A_SCDPT1!$B$95:$AN$97</definedName>
    <definedName name="SCDPT1_0629999999_10" localSheetId="0">GMIC_22A_SCDPT1!$N$98</definedName>
    <definedName name="SCDPT1_0629999999_11" localSheetId="0">GMIC_22A_SCDPT1!$O$98</definedName>
    <definedName name="SCDPT1_0629999999_12" localSheetId="0">GMIC_22A_SCDPT1!$P$98</definedName>
    <definedName name="SCDPT1_0629999999_13" localSheetId="0">GMIC_22A_SCDPT1!$Q$98</definedName>
    <definedName name="SCDPT1_0629999999_14" localSheetId="0">GMIC_22A_SCDPT1!$R$98</definedName>
    <definedName name="SCDPT1_0629999999_15" localSheetId="0">GMIC_22A_SCDPT1!$S$98</definedName>
    <definedName name="SCDPT1_0629999999_19" localSheetId="0">GMIC_22A_SCDPT1!$W$98</definedName>
    <definedName name="SCDPT1_0629999999_20" localSheetId="0">GMIC_22A_SCDPT1!$X$98</definedName>
    <definedName name="SCDPT1_0629999999_7" localSheetId="0">GMIC_22A_SCDPT1!$K$98</definedName>
    <definedName name="SCDPT1_0629999999_9" localSheetId="0">GMIC_22A_SCDPT1!$M$98</definedName>
    <definedName name="SCDPT1_062BEGINNG_1" localSheetId="0">GMIC_22A_SCDPT1!$C$95</definedName>
    <definedName name="SCDPT1_062BEGINNG_10" localSheetId="0">GMIC_22A_SCDPT1!$N$95</definedName>
    <definedName name="SCDPT1_062BEGINNG_11" localSheetId="0">GMIC_22A_SCDPT1!$O$95</definedName>
    <definedName name="SCDPT1_062BEGINNG_12" localSheetId="0">GMIC_22A_SCDPT1!$P$95</definedName>
    <definedName name="SCDPT1_062BEGINNG_13" localSheetId="0">GMIC_22A_SCDPT1!$Q$95</definedName>
    <definedName name="SCDPT1_062BEGINNG_14" localSheetId="0">GMIC_22A_SCDPT1!$R$95</definedName>
    <definedName name="SCDPT1_062BEGINNG_15" localSheetId="0">GMIC_22A_SCDPT1!$S$95</definedName>
    <definedName name="SCDPT1_062BEGINNG_16" localSheetId="0">GMIC_22A_SCDPT1!$T$95</definedName>
    <definedName name="SCDPT1_062BEGINNG_17" localSheetId="0">GMIC_22A_SCDPT1!$U$95</definedName>
    <definedName name="SCDPT1_062BEGINNG_18" localSheetId="0">GMIC_22A_SCDPT1!$V$95</definedName>
    <definedName name="SCDPT1_062BEGINNG_19" localSheetId="0">GMIC_22A_SCDPT1!$W$95</definedName>
    <definedName name="SCDPT1_062BEGINNG_2" localSheetId="0">GMIC_22A_SCDPT1!$D$95</definedName>
    <definedName name="SCDPT1_062BEGINNG_20" localSheetId="0">GMIC_22A_SCDPT1!$X$95</definedName>
    <definedName name="SCDPT1_062BEGINNG_21" localSheetId="0">GMIC_22A_SCDPT1!$Y$95</definedName>
    <definedName name="SCDPT1_062BEGINNG_22" localSheetId="0">GMIC_22A_SCDPT1!$Z$95</definedName>
    <definedName name="SCDPT1_062BEGINNG_23" localSheetId="0">GMIC_22A_SCDPT1!$AA$95</definedName>
    <definedName name="SCDPT1_062BEGINNG_24" localSheetId="0">GMIC_22A_SCDPT1!$AB$95</definedName>
    <definedName name="SCDPT1_062BEGINNG_25" localSheetId="0">GMIC_22A_SCDPT1!$AC$95</definedName>
    <definedName name="SCDPT1_062BEGINNG_26" localSheetId="0">GMIC_22A_SCDPT1!$AD$95</definedName>
    <definedName name="SCDPT1_062BEGINNG_27" localSheetId="0">GMIC_22A_SCDPT1!$AE$95</definedName>
    <definedName name="SCDPT1_062BEGINNG_28" localSheetId="0">GMIC_22A_SCDPT1!$AF$95</definedName>
    <definedName name="SCDPT1_062BEGINNG_29" localSheetId="0">GMIC_22A_SCDPT1!$AG$95</definedName>
    <definedName name="SCDPT1_062BEGINNG_3" localSheetId="0">GMIC_22A_SCDPT1!$E$95</definedName>
    <definedName name="SCDPT1_062BEGINNG_30" localSheetId="0">GMIC_22A_SCDPT1!$AH$95</definedName>
    <definedName name="SCDPT1_062BEGINNG_31" localSheetId="0">GMIC_22A_SCDPT1!$AI$95</definedName>
    <definedName name="SCDPT1_062BEGINNG_32" localSheetId="0">GMIC_22A_SCDPT1!$AJ$95</definedName>
    <definedName name="SCDPT1_062BEGINNG_33" localSheetId="0">GMIC_22A_SCDPT1!$AK$95</definedName>
    <definedName name="SCDPT1_062BEGINNG_34" localSheetId="0">GMIC_22A_SCDPT1!$AL$95</definedName>
    <definedName name="SCDPT1_062BEGINNG_35" localSheetId="0">GMIC_22A_SCDPT1!$AM$95</definedName>
    <definedName name="SCDPT1_062BEGINNG_36" localSheetId="0">GMIC_22A_SCDPT1!$AN$95</definedName>
    <definedName name="SCDPT1_062BEGINNG_4" localSheetId="0">GMIC_22A_SCDPT1!$F$95</definedName>
    <definedName name="SCDPT1_062BEGINNG_5" localSheetId="0">GMIC_22A_SCDPT1!$G$95</definedName>
    <definedName name="SCDPT1_062BEGINNG_6.01" localSheetId="0">GMIC_22A_SCDPT1!$H$95</definedName>
    <definedName name="SCDPT1_062BEGINNG_6.02" localSheetId="0">GMIC_22A_SCDPT1!$I$95</definedName>
    <definedName name="SCDPT1_062BEGINNG_6.03" localSheetId="0">GMIC_22A_SCDPT1!$J$95</definedName>
    <definedName name="SCDPT1_062BEGINNG_7" localSheetId="0">GMIC_22A_SCDPT1!$K$95</definedName>
    <definedName name="SCDPT1_062BEGINNG_8" localSheetId="0">GMIC_22A_SCDPT1!$L$95</definedName>
    <definedName name="SCDPT1_062BEGINNG_9" localSheetId="0">GMIC_22A_SCDPT1!$M$95</definedName>
    <definedName name="SCDPT1_062ENDINGG_10" localSheetId="0">GMIC_22A_SCDPT1!$N$97</definedName>
    <definedName name="SCDPT1_062ENDINGG_11" localSheetId="0">GMIC_22A_SCDPT1!$O$97</definedName>
    <definedName name="SCDPT1_062ENDINGG_12" localSheetId="0">GMIC_22A_SCDPT1!$P$97</definedName>
    <definedName name="SCDPT1_062ENDINGG_13" localSheetId="0">GMIC_22A_SCDPT1!$Q$97</definedName>
    <definedName name="SCDPT1_062ENDINGG_14" localSheetId="0">GMIC_22A_SCDPT1!$R$97</definedName>
    <definedName name="SCDPT1_062ENDINGG_15" localSheetId="0">GMIC_22A_SCDPT1!$S$97</definedName>
    <definedName name="SCDPT1_062ENDINGG_16" localSheetId="0">GMIC_22A_SCDPT1!$T$97</definedName>
    <definedName name="SCDPT1_062ENDINGG_17" localSheetId="0">GMIC_22A_SCDPT1!$U$97</definedName>
    <definedName name="SCDPT1_062ENDINGG_18" localSheetId="0">GMIC_22A_SCDPT1!$V$97</definedName>
    <definedName name="SCDPT1_062ENDINGG_19" localSheetId="0">GMIC_22A_SCDPT1!$W$97</definedName>
    <definedName name="SCDPT1_062ENDINGG_2" localSheetId="0">GMIC_22A_SCDPT1!$D$97</definedName>
    <definedName name="SCDPT1_062ENDINGG_20" localSheetId="0">GMIC_22A_SCDPT1!$X$97</definedName>
    <definedName name="SCDPT1_062ENDINGG_21" localSheetId="0">GMIC_22A_SCDPT1!$Y$97</definedName>
    <definedName name="SCDPT1_062ENDINGG_22" localSheetId="0">GMIC_22A_SCDPT1!$Z$97</definedName>
    <definedName name="SCDPT1_062ENDINGG_23" localSheetId="0">GMIC_22A_SCDPT1!$AA$97</definedName>
    <definedName name="SCDPT1_062ENDINGG_24" localSheetId="0">GMIC_22A_SCDPT1!$AB$97</definedName>
    <definedName name="SCDPT1_062ENDINGG_25" localSheetId="0">GMIC_22A_SCDPT1!$AC$97</definedName>
    <definedName name="SCDPT1_062ENDINGG_26" localSheetId="0">GMIC_22A_SCDPT1!$AD$97</definedName>
    <definedName name="SCDPT1_062ENDINGG_27" localSheetId="0">GMIC_22A_SCDPT1!$AE$97</definedName>
    <definedName name="SCDPT1_062ENDINGG_28" localSheetId="0">GMIC_22A_SCDPT1!$AF$97</definedName>
    <definedName name="SCDPT1_062ENDINGG_29" localSheetId="0">GMIC_22A_SCDPT1!$AG$97</definedName>
    <definedName name="SCDPT1_062ENDINGG_3" localSheetId="0">GMIC_22A_SCDPT1!$E$97</definedName>
    <definedName name="SCDPT1_062ENDINGG_30" localSheetId="0">GMIC_22A_SCDPT1!$AH$97</definedName>
    <definedName name="SCDPT1_062ENDINGG_31" localSheetId="0">GMIC_22A_SCDPT1!$AI$97</definedName>
    <definedName name="SCDPT1_062ENDINGG_32" localSheetId="0">GMIC_22A_SCDPT1!$AJ$97</definedName>
    <definedName name="SCDPT1_062ENDINGG_33" localSheetId="0">GMIC_22A_SCDPT1!$AK$97</definedName>
    <definedName name="SCDPT1_062ENDINGG_34" localSheetId="0">GMIC_22A_SCDPT1!$AL$97</definedName>
    <definedName name="SCDPT1_062ENDINGG_35" localSheetId="0">GMIC_22A_SCDPT1!$AM$97</definedName>
    <definedName name="SCDPT1_062ENDINGG_36" localSheetId="0">GMIC_22A_SCDPT1!$AN$97</definedName>
    <definedName name="SCDPT1_062ENDINGG_4" localSheetId="0">GMIC_22A_SCDPT1!$F$97</definedName>
    <definedName name="SCDPT1_062ENDINGG_5" localSheetId="0">GMIC_22A_SCDPT1!$G$97</definedName>
    <definedName name="SCDPT1_062ENDINGG_6.01" localSheetId="0">GMIC_22A_SCDPT1!$H$97</definedName>
    <definedName name="SCDPT1_062ENDINGG_6.02" localSheetId="0">GMIC_22A_SCDPT1!$I$97</definedName>
    <definedName name="SCDPT1_062ENDINGG_6.03" localSheetId="0">GMIC_22A_SCDPT1!$J$97</definedName>
    <definedName name="SCDPT1_062ENDINGG_7" localSheetId="0">GMIC_22A_SCDPT1!$K$97</definedName>
    <definedName name="SCDPT1_062ENDINGG_8" localSheetId="0">GMIC_22A_SCDPT1!$L$97</definedName>
    <definedName name="SCDPT1_062ENDINGG_9" localSheetId="0">GMIC_22A_SCDPT1!$M$97</definedName>
    <definedName name="SCDPT1_0630000000_Range" localSheetId="0">GMIC_22A_SCDPT1!$B$99:$AN$101</definedName>
    <definedName name="SCDPT1_0639999999_10" localSheetId="0">GMIC_22A_SCDPT1!$N$102</definedName>
    <definedName name="SCDPT1_0639999999_11" localSheetId="0">GMIC_22A_SCDPT1!$O$102</definedName>
    <definedName name="SCDPT1_0639999999_12" localSheetId="0">GMIC_22A_SCDPT1!$P$102</definedName>
    <definedName name="SCDPT1_0639999999_13" localSheetId="0">GMIC_22A_SCDPT1!$Q$102</definedName>
    <definedName name="SCDPT1_0639999999_14" localSheetId="0">GMIC_22A_SCDPT1!$R$102</definedName>
    <definedName name="SCDPT1_0639999999_15" localSheetId="0">GMIC_22A_SCDPT1!$S$102</definedName>
    <definedName name="SCDPT1_0639999999_19" localSheetId="0">GMIC_22A_SCDPT1!$W$102</definedName>
    <definedName name="SCDPT1_0639999999_20" localSheetId="0">GMIC_22A_SCDPT1!$X$102</definedName>
    <definedName name="SCDPT1_0639999999_7" localSheetId="0">GMIC_22A_SCDPT1!$K$102</definedName>
    <definedName name="SCDPT1_0639999999_9" localSheetId="0">GMIC_22A_SCDPT1!$M$102</definedName>
    <definedName name="SCDPT1_063BEGINNG_1" localSheetId="0">GMIC_22A_SCDPT1!$C$99</definedName>
    <definedName name="SCDPT1_063BEGINNG_10" localSheetId="0">GMIC_22A_SCDPT1!$N$99</definedName>
    <definedName name="SCDPT1_063BEGINNG_11" localSheetId="0">GMIC_22A_SCDPT1!$O$99</definedName>
    <definedName name="SCDPT1_063BEGINNG_12" localSheetId="0">GMIC_22A_SCDPT1!$P$99</definedName>
    <definedName name="SCDPT1_063BEGINNG_13" localSheetId="0">GMIC_22A_SCDPT1!$Q$99</definedName>
    <definedName name="SCDPT1_063BEGINNG_14" localSheetId="0">GMIC_22A_SCDPT1!$R$99</definedName>
    <definedName name="SCDPT1_063BEGINNG_15" localSheetId="0">GMIC_22A_SCDPT1!$S$99</definedName>
    <definedName name="SCDPT1_063BEGINNG_16" localSheetId="0">GMIC_22A_SCDPT1!$T$99</definedName>
    <definedName name="SCDPT1_063BEGINNG_17" localSheetId="0">GMIC_22A_SCDPT1!$U$99</definedName>
    <definedName name="SCDPT1_063BEGINNG_18" localSheetId="0">GMIC_22A_SCDPT1!$V$99</definedName>
    <definedName name="SCDPT1_063BEGINNG_19" localSheetId="0">GMIC_22A_SCDPT1!$W$99</definedName>
    <definedName name="SCDPT1_063BEGINNG_2" localSheetId="0">GMIC_22A_SCDPT1!$D$99</definedName>
    <definedName name="SCDPT1_063BEGINNG_20" localSheetId="0">GMIC_22A_SCDPT1!$X$99</definedName>
    <definedName name="SCDPT1_063BEGINNG_21" localSheetId="0">GMIC_22A_SCDPT1!$Y$99</definedName>
    <definedName name="SCDPT1_063BEGINNG_22" localSheetId="0">GMIC_22A_SCDPT1!$Z$99</definedName>
    <definedName name="SCDPT1_063BEGINNG_23" localSheetId="0">GMIC_22A_SCDPT1!$AA$99</definedName>
    <definedName name="SCDPT1_063BEGINNG_24" localSheetId="0">GMIC_22A_SCDPT1!$AB$99</definedName>
    <definedName name="SCDPT1_063BEGINNG_25" localSheetId="0">GMIC_22A_SCDPT1!$AC$99</definedName>
    <definedName name="SCDPT1_063BEGINNG_26" localSheetId="0">GMIC_22A_SCDPT1!$AD$99</definedName>
    <definedName name="SCDPT1_063BEGINNG_27" localSheetId="0">GMIC_22A_SCDPT1!$AE$99</definedName>
    <definedName name="SCDPT1_063BEGINNG_28" localSheetId="0">GMIC_22A_SCDPT1!$AF$99</definedName>
    <definedName name="SCDPT1_063BEGINNG_29" localSheetId="0">GMIC_22A_SCDPT1!$AG$99</definedName>
    <definedName name="SCDPT1_063BEGINNG_3" localSheetId="0">GMIC_22A_SCDPT1!$E$99</definedName>
    <definedName name="SCDPT1_063BEGINNG_30" localSheetId="0">GMIC_22A_SCDPT1!$AH$99</definedName>
    <definedName name="SCDPT1_063BEGINNG_31" localSheetId="0">GMIC_22A_SCDPT1!$AI$99</definedName>
    <definedName name="SCDPT1_063BEGINNG_32" localSheetId="0">GMIC_22A_SCDPT1!$AJ$99</definedName>
    <definedName name="SCDPT1_063BEGINNG_33" localSheetId="0">GMIC_22A_SCDPT1!$AK$99</definedName>
    <definedName name="SCDPT1_063BEGINNG_34" localSheetId="0">GMIC_22A_SCDPT1!$AL$99</definedName>
    <definedName name="SCDPT1_063BEGINNG_35" localSheetId="0">GMIC_22A_SCDPT1!$AM$99</definedName>
    <definedName name="SCDPT1_063BEGINNG_36" localSheetId="0">GMIC_22A_SCDPT1!$AN$99</definedName>
    <definedName name="SCDPT1_063BEGINNG_4" localSheetId="0">GMIC_22A_SCDPT1!$F$99</definedName>
    <definedName name="SCDPT1_063BEGINNG_5" localSheetId="0">GMIC_22A_SCDPT1!$G$99</definedName>
    <definedName name="SCDPT1_063BEGINNG_6.01" localSheetId="0">GMIC_22A_SCDPT1!$H$99</definedName>
    <definedName name="SCDPT1_063BEGINNG_6.02" localSheetId="0">GMIC_22A_SCDPT1!$I$99</definedName>
    <definedName name="SCDPT1_063BEGINNG_6.03" localSheetId="0">GMIC_22A_SCDPT1!$J$99</definedName>
    <definedName name="SCDPT1_063BEGINNG_7" localSheetId="0">GMIC_22A_SCDPT1!$K$99</definedName>
    <definedName name="SCDPT1_063BEGINNG_8" localSheetId="0">GMIC_22A_SCDPT1!$L$99</definedName>
    <definedName name="SCDPT1_063BEGINNG_9" localSheetId="0">GMIC_22A_SCDPT1!$M$99</definedName>
    <definedName name="SCDPT1_063ENDINGG_10" localSheetId="0">GMIC_22A_SCDPT1!$N$101</definedName>
    <definedName name="SCDPT1_063ENDINGG_11" localSheetId="0">GMIC_22A_SCDPT1!$O$101</definedName>
    <definedName name="SCDPT1_063ENDINGG_12" localSheetId="0">GMIC_22A_SCDPT1!$P$101</definedName>
    <definedName name="SCDPT1_063ENDINGG_13" localSheetId="0">GMIC_22A_SCDPT1!$Q$101</definedName>
    <definedName name="SCDPT1_063ENDINGG_14" localSheetId="0">GMIC_22A_SCDPT1!$R$101</definedName>
    <definedName name="SCDPT1_063ENDINGG_15" localSheetId="0">GMIC_22A_SCDPT1!$S$101</definedName>
    <definedName name="SCDPT1_063ENDINGG_16" localSheetId="0">GMIC_22A_SCDPT1!$T$101</definedName>
    <definedName name="SCDPT1_063ENDINGG_17" localSheetId="0">GMIC_22A_SCDPT1!$U$101</definedName>
    <definedName name="SCDPT1_063ENDINGG_18" localSheetId="0">GMIC_22A_SCDPT1!$V$101</definedName>
    <definedName name="SCDPT1_063ENDINGG_19" localSheetId="0">GMIC_22A_SCDPT1!$W$101</definedName>
    <definedName name="SCDPT1_063ENDINGG_2" localSheetId="0">GMIC_22A_SCDPT1!$D$101</definedName>
    <definedName name="SCDPT1_063ENDINGG_20" localSheetId="0">GMIC_22A_SCDPT1!$X$101</definedName>
    <definedName name="SCDPT1_063ENDINGG_21" localSheetId="0">GMIC_22A_SCDPT1!$Y$101</definedName>
    <definedName name="SCDPT1_063ENDINGG_22" localSheetId="0">GMIC_22A_SCDPT1!$Z$101</definedName>
    <definedName name="SCDPT1_063ENDINGG_23" localSheetId="0">GMIC_22A_SCDPT1!$AA$101</definedName>
    <definedName name="SCDPT1_063ENDINGG_24" localSheetId="0">GMIC_22A_SCDPT1!$AB$101</definedName>
    <definedName name="SCDPT1_063ENDINGG_25" localSheetId="0">GMIC_22A_SCDPT1!$AC$101</definedName>
    <definedName name="SCDPT1_063ENDINGG_26" localSheetId="0">GMIC_22A_SCDPT1!$AD$101</definedName>
    <definedName name="SCDPT1_063ENDINGG_27" localSheetId="0">GMIC_22A_SCDPT1!$AE$101</definedName>
    <definedName name="SCDPT1_063ENDINGG_28" localSheetId="0">GMIC_22A_SCDPT1!$AF$101</definedName>
    <definedName name="SCDPT1_063ENDINGG_29" localSheetId="0">GMIC_22A_SCDPT1!$AG$101</definedName>
    <definedName name="SCDPT1_063ENDINGG_3" localSheetId="0">GMIC_22A_SCDPT1!$E$101</definedName>
    <definedName name="SCDPT1_063ENDINGG_30" localSheetId="0">GMIC_22A_SCDPT1!$AH$101</definedName>
    <definedName name="SCDPT1_063ENDINGG_31" localSheetId="0">GMIC_22A_SCDPT1!$AI$101</definedName>
    <definedName name="SCDPT1_063ENDINGG_32" localSheetId="0">GMIC_22A_SCDPT1!$AJ$101</definedName>
    <definedName name="SCDPT1_063ENDINGG_33" localSheetId="0">GMIC_22A_SCDPT1!$AK$101</definedName>
    <definedName name="SCDPT1_063ENDINGG_34" localSheetId="0">GMIC_22A_SCDPT1!$AL$101</definedName>
    <definedName name="SCDPT1_063ENDINGG_35" localSheetId="0">GMIC_22A_SCDPT1!$AM$101</definedName>
    <definedName name="SCDPT1_063ENDINGG_36" localSheetId="0">GMIC_22A_SCDPT1!$AN$101</definedName>
    <definedName name="SCDPT1_063ENDINGG_4" localSheetId="0">GMIC_22A_SCDPT1!$F$101</definedName>
    <definedName name="SCDPT1_063ENDINGG_5" localSheetId="0">GMIC_22A_SCDPT1!$G$101</definedName>
    <definedName name="SCDPT1_063ENDINGG_6.01" localSheetId="0">GMIC_22A_SCDPT1!$H$101</definedName>
    <definedName name="SCDPT1_063ENDINGG_6.02" localSheetId="0">GMIC_22A_SCDPT1!$I$101</definedName>
    <definedName name="SCDPT1_063ENDINGG_6.03" localSheetId="0">GMIC_22A_SCDPT1!$J$101</definedName>
    <definedName name="SCDPT1_063ENDINGG_7" localSheetId="0">GMIC_22A_SCDPT1!$K$101</definedName>
    <definedName name="SCDPT1_063ENDINGG_8" localSheetId="0">GMIC_22A_SCDPT1!$L$101</definedName>
    <definedName name="SCDPT1_063ENDINGG_9" localSheetId="0">GMIC_22A_SCDPT1!$M$101</definedName>
    <definedName name="SCDPT1_0640000000_Range" localSheetId="0">GMIC_22A_SCDPT1!$B$103:$AN$105</definedName>
    <definedName name="SCDPT1_0649999999_10" localSheetId="0">GMIC_22A_SCDPT1!$N$106</definedName>
    <definedName name="SCDPT1_0649999999_11" localSheetId="0">GMIC_22A_SCDPT1!$O$106</definedName>
    <definedName name="SCDPT1_0649999999_12" localSheetId="0">GMIC_22A_SCDPT1!$P$106</definedName>
    <definedName name="SCDPT1_0649999999_13" localSheetId="0">GMIC_22A_SCDPT1!$Q$106</definedName>
    <definedName name="SCDPT1_0649999999_14" localSheetId="0">GMIC_22A_SCDPT1!$R$106</definedName>
    <definedName name="SCDPT1_0649999999_15" localSheetId="0">GMIC_22A_SCDPT1!$S$106</definedName>
    <definedName name="SCDPT1_0649999999_19" localSheetId="0">GMIC_22A_SCDPT1!$W$106</definedName>
    <definedName name="SCDPT1_0649999999_20" localSheetId="0">GMIC_22A_SCDPT1!$X$106</definedName>
    <definedName name="SCDPT1_0649999999_7" localSheetId="0">GMIC_22A_SCDPT1!$K$106</definedName>
    <definedName name="SCDPT1_0649999999_9" localSheetId="0">GMIC_22A_SCDPT1!$M$106</definedName>
    <definedName name="SCDPT1_064BEGINNG_1" localSheetId="0">GMIC_22A_SCDPT1!$C$103</definedName>
    <definedName name="SCDPT1_064BEGINNG_10" localSheetId="0">GMIC_22A_SCDPT1!$N$103</definedName>
    <definedName name="SCDPT1_064BEGINNG_11" localSheetId="0">GMIC_22A_SCDPT1!$O$103</definedName>
    <definedName name="SCDPT1_064BEGINNG_12" localSheetId="0">GMIC_22A_SCDPT1!$P$103</definedName>
    <definedName name="SCDPT1_064BEGINNG_13" localSheetId="0">GMIC_22A_SCDPT1!$Q$103</definedName>
    <definedName name="SCDPT1_064BEGINNG_14" localSheetId="0">GMIC_22A_SCDPT1!$R$103</definedName>
    <definedName name="SCDPT1_064BEGINNG_15" localSheetId="0">GMIC_22A_SCDPT1!$S$103</definedName>
    <definedName name="SCDPT1_064BEGINNG_16" localSheetId="0">GMIC_22A_SCDPT1!$T$103</definedName>
    <definedName name="SCDPT1_064BEGINNG_17" localSheetId="0">GMIC_22A_SCDPT1!$U$103</definedName>
    <definedName name="SCDPT1_064BEGINNG_18" localSheetId="0">GMIC_22A_SCDPT1!$V$103</definedName>
    <definedName name="SCDPT1_064BEGINNG_19" localSheetId="0">GMIC_22A_SCDPT1!$W$103</definedName>
    <definedName name="SCDPT1_064BEGINNG_2" localSheetId="0">GMIC_22A_SCDPT1!$D$103</definedName>
    <definedName name="SCDPT1_064BEGINNG_20" localSheetId="0">GMIC_22A_SCDPT1!$X$103</definedName>
    <definedName name="SCDPT1_064BEGINNG_21" localSheetId="0">GMIC_22A_SCDPT1!$Y$103</definedName>
    <definedName name="SCDPT1_064BEGINNG_22" localSheetId="0">GMIC_22A_SCDPT1!$Z$103</definedName>
    <definedName name="SCDPT1_064BEGINNG_23" localSheetId="0">GMIC_22A_SCDPT1!$AA$103</definedName>
    <definedName name="SCDPT1_064BEGINNG_24" localSheetId="0">GMIC_22A_SCDPT1!$AB$103</definedName>
    <definedName name="SCDPT1_064BEGINNG_25" localSheetId="0">GMIC_22A_SCDPT1!$AC$103</definedName>
    <definedName name="SCDPT1_064BEGINNG_26" localSheetId="0">GMIC_22A_SCDPT1!$AD$103</definedName>
    <definedName name="SCDPT1_064BEGINNG_27" localSheetId="0">GMIC_22A_SCDPT1!$AE$103</definedName>
    <definedName name="SCDPT1_064BEGINNG_28" localSheetId="0">GMIC_22A_SCDPT1!$AF$103</definedName>
    <definedName name="SCDPT1_064BEGINNG_29" localSheetId="0">GMIC_22A_SCDPT1!$AG$103</definedName>
    <definedName name="SCDPT1_064BEGINNG_3" localSheetId="0">GMIC_22A_SCDPT1!$E$103</definedName>
    <definedName name="SCDPT1_064BEGINNG_30" localSheetId="0">GMIC_22A_SCDPT1!$AH$103</definedName>
    <definedName name="SCDPT1_064BEGINNG_31" localSheetId="0">GMIC_22A_SCDPT1!$AI$103</definedName>
    <definedName name="SCDPT1_064BEGINNG_32" localSheetId="0">GMIC_22A_SCDPT1!$AJ$103</definedName>
    <definedName name="SCDPT1_064BEGINNG_33" localSheetId="0">GMIC_22A_SCDPT1!$AK$103</definedName>
    <definedName name="SCDPT1_064BEGINNG_34" localSheetId="0">GMIC_22A_SCDPT1!$AL$103</definedName>
    <definedName name="SCDPT1_064BEGINNG_35" localSheetId="0">GMIC_22A_SCDPT1!$AM$103</definedName>
    <definedName name="SCDPT1_064BEGINNG_36" localSheetId="0">GMIC_22A_SCDPT1!$AN$103</definedName>
    <definedName name="SCDPT1_064BEGINNG_4" localSheetId="0">GMIC_22A_SCDPT1!$F$103</definedName>
    <definedName name="SCDPT1_064BEGINNG_5" localSheetId="0">GMIC_22A_SCDPT1!$G$103</definedName>
    <definedName name="SCDPT1_064BEGINNG_6.01" localSheetId="0">GMIC_22A_SCDPT1!$H$103</definedName>
    <definedName name="SCDPT1_064BEGINNG_6.02" localSheetId="0">GMIC_22A_SCDPT1!$I$103</definedName>
    <definedName name="SCDPT1_064BEGINNG_6.03" localSheetId="0">GMIC_22A_SCDPT1!$J$103</definedName>
    <definedName name="SCDPT1_064BEGINNG_7" localSheetId="0">GMIC_22A_SCDPT1!$K$103</definedName>
    <definedName name="SCDPT1_064BEGINNG_8" localSheetId="0">GMIC_22A_SCDPT1!$L$103</definedName>
    <definedName name="SCDPT1_064BEGINNG_9" localSheetId="0">GMIC_22A_SCDPT1!$M$103</definedName>
    <definedName name="SCDPT1_064ENDINGG_10" localSheetId="0">GMIC_22A_SCDPT1!$N$105</definedName>
    <definedName name="SCDPT1_064ENDINGG_11" localSheetId="0">GMIC_22A_SCDPT1!$O$105</definedName>
    <definedName name="SCDPT1_064ENDINGG_12" localSheetId="0">GMIC_22A_SCDPT1!$P$105</definedName>
    <definedName name="SCDPT1_064ENDINGG_13" localSheetId="0">GMIC_22A_SCDPT1!$Q$105</definedName>
    <definedName name="SCDPT1_064ENDINGG_14" localSheetId="0">GMIC_22A_SCDPT1!$R$105</definedName>
    <definedName name="SCDPT1_064ENDINGG_15" localSheetId="0">GMIC_22A_SCDPT1!$S$105</definedName>
    <definedName name="SCDPT1_064ENDINGG_16" localSheetId="0">GMIC_22A_SCDPT1!$T$105</definedName>
    <definedName name="SCDPT1_064ENDINGG_17" localSheetId="0">GMIC_22A_SCDPT1!$U$105</definedName>
    <definedName name="SCDPT1_064ENDINGG_18" localSheetId="0">GMIC_22A_SCDPT1!$V$105</definedName>
    <definedName name="SCDPT1_064ENDINGG_19" localSheetId="0">GMIC_22A_SCDPT1!$W$105</definedName>
    <definedName name="SCDPT1_064ENDINGG_2" localSheetId="0">GMIC_22A_SCDPT1!$D$105</definedName>
    <definedName name="SCDPT1_064ENDINGG_20" localSheetId="0">GMIC_22A_SCDPT1!$X$105</definedName>
    <definedName name="SCDPT1_064ENDINGG_21" localSheetId="0">GMIC_22A_SCDPT1!$Y$105</definedName>
    <definedName name="SCDPT1_064ENDINGG_22" localSheetId="0">GMIC_22A_SCDPT1!$Z$105</definedName>
    <definedName name="SCDPT1_064ENDINGG_23" localSheetId="0">GMIC_22A_SCDPT1!$AA$105</definedName>
    <definedName name="SCDPT1_064ENDINGG_24" localSheetId="0">GMIC_22A_SCDPT1!$AB$105</definedName>
    <definedName name="SCDPT1_064ENDINGG_25" localSheetId="0">GMIC_22A_SCDPT1!$AC$105</definedName>
    <definedName name="SCDPT1_064ENDINGG_26" localSheetId="0">GMIC_22A_SCDPT1!$AD$105</definedName>
    <definedName name="SCDPT1_064ENDINGG_27" localSheetId="0">GMIC_22A_SCDPT1!$AE$105</definedName>
    <definedName name="SCDPT1_064ENDINGG_28" localSheetId="0">GMIC_22A_SCDPT1!$AF$105</definedName>
    <definedName name="SCDPT1_064ENDINGG_29" localSheetId="0">GMIC_22A_SCDPT1!$AG$105</definedName>
    <definedName name="SCDPT1_064ENDINGG_3" localSheetId="0">GMIC_22A_SCDPT1!$E$105</definedName>
    <definedName name="SCDPT1_064ENDINGG_30" localSheetId="0">GMIC_22A_SCDPT1!$AH$105</definedName>
    <definedName name="SCDPT1_064ENDINGG_31" localSheetId="0">GMIC_22A_SCDPT1!$AI$105</definedName>
    <definedName name="SCDPT1_064ENDINGG_32" localSheetId="0">GMIC_22A_SCDPT1!$AJ$105</definedName>
    <definedName name="SCDPT1_064ENDINGG_33" localSheetId="0">GMIC_22A_SCDPT1!$AK$105</definedName>
    <definedName name="SCDPT1_064ENDINGG_34" localSheetId="0">GMIC_22A_SCDPT1!$AL$105</definedName>
    <definedName name="SCDPT1_064ENDINGG_35" localSheetId="0">GMIC_22A_SCDPT1!$AM$105</definedName>
    <definedName name="SCDPT1_064ENDINGG_36" localSheetId="0">GMIC_22A_SCDPT1!$AN$105</definedName>
    <definedName name="SCDPT1_064ENDINGG_4" localSheetId="0">GMIC_22A_SCDPT1!$F$105</definedName>
    <definedName name="SCDPT1_064ENDINGG_5" localSheetId="0">GMIC_22A_SCDPT1!$G$105</definedName>
    <definedName name="SCDPT1_064ENDINGG_6.01" localSheetId="0">GMIC_22A_SCDPT1!$H$105</definedName>
    <definedName name="SCDPT1_064ENDINGG_6.02" localSheetId="0">GMIC_22A_SCDPT1!$I$105</definedName>
    <definedName name="SCDPT1_064ENDINGG_6.03" localSheetId="0">GMIC_22A_SCDPT1!$J$105</definedName>
    <definedName name="SCDPT1_064ENDINGG_7" localSheetId="0">GMIC_22A_SCDPT1!$K$105</definedName>
    <definedName name="SCDPT1_064ENDINGG_8" localSheetId="0">GMIC_22A_SCDPT1!$L$105</definedName>
    <definedName name="SCDPT1_064ENDINGG_9" localSheetId="0">GMIC_22A_SCDPT1!$M$105</definedName>
    <definedName name="SCDPT1_0709999999_10" localSheetId="0">GMIC_22A_SCDPT1!$N$107</definedName>
    <definedName name="SCDPT1_0709999999_11" localSheetId="0">GMIC_22A_SCDPT1!$O$107</definedName>
    <definedName name="SCDPT1_0709999999_12" localSheetId="0">GMIC_22A_SCDPT1!$P$107</definedName>
    <definedName name="SCDPT1_0709999999_13" localSheetId="0">GMIC_22A_SCDPT1!$Q$107</definedName>
    <definedName name="SCDPT1_0709999999_14" localSheetId="0">GMIC_22A_SCDPT1!$R$107</definedName>
    <definedName name="SCDPT1_0709999999_15" localSheetId="0">GMIC_22A_SCDPT1!$S$107</definedName>
    <definedName name="SCDPT1_0709999999_19" localSheetId="0">GMIC_22A_SCDPT1!$W$107</definedName>
    <definedName name="SCDPT1_0709999999_20" localSheetId="0">GMIC_22A_SCDPT1!$X$107</definedName>
    <definedName name="SCDPT1_0709999999_7" localSheetId="0">GMIC_22A_SCDPT1!$K$107</definedName>
    <definedName name="SCDPT1_0709999999_9" localSheetId="0">GMIC_22A_SCDPT1!$M$107</definedName>
    <definedName name="SCDPT1_0810000000_Range" localSheetId="0">GMIC_22A_SCDPT1!$B$108:$AN$181</definedName>
    <definedName name="SCDPT1_0810000001_1" localSheetId="0">GMIC_22A_SCDPT1!$C$109</definedName>
    <definedName name="SCDPT1_0810000001_10" localSheetId="0">GMIC_22A_SCDPT1!$N$109</definedName>
    <definedName name="SCDPT1_0810000001_11" localSheetId="0">GMIC_22A_SCDPT1!$O$109</definedName>
    <definedName name="SCDPT1_0810000001_12" localSheetId="0">GMIC_22A_SCDPT1!$P$109</definedName>
    <definedName name="SCDPT1_0810000001_13" localSheetId="0">GMIC_22A_SCDPT1!$Q$109</definedName>
    <definedName name="SCDPT1_0810000001_14" localSheetId="0">GMIC_22A_SCDPT1!$R$109</definedName>
    <definedName name="SCDPT1_0810000001_15" localSheetId="0">GMIC_22A_SCDPT1!$S$109</definedName>
    <definedName name="SCDPT1_0810000001_16" localSheetId="0">GMIC_22A_SCDPT1!$T$109</definedName>
    <definedName name="SCDPT1_0810000001_17" localSheetId="0">GMIC_22A_SCDPT1!$U$109</definedName>
    <definedName name="SCDPT1_0810000001_18" localSheetId="0">GMIC_22A_SCDPT1!$V$109</definedName>
    <definedName name="SCDPT1_0810000001_19" localSheetId="0">GMIC_22A_SCDPT1!$W$109</definedName>
    <definedName name="SCDPT1_0810000001_2" localSheetId="0">GMIC_22A_SCDPT1!$D$109</definedName>
    <definedName name="SCDPT1_0810000001_20" localSheetId="0">GMIC_22A_SCDPT1!$X$109</definedName>
    <definedName name="SCDPT1_0810000001_21" localSheetId="0">GMIC_22A_SCDPT1!$Y$109</definedName>
    <definedName name="SCDPT1_0810000001_22" localSheetId="0">GMIC_22A_SCDPT1!$Z$109</definedName>
    <definedName name="SCDPT1_0810000001_23" localSheetId="0">GMIC_22A_SCDPT1!$AA$109</definedName>
    <definedName name="SCDPT1_0810000001_24" localSheetId="0">GMIC_22A_SCDPT1!$AB$109</definedName>
    <definedName name="SCDPT1_0810000001_25" localSheetId="0">GMIC_22A_SCDPT1!$AC$109</definedName>
    <definedName name="SCDPT1_0810000001_27" localSheetId="0">GMIC_22A_SCDPT1!$AE$109</definedName>
    <definedName name="SCDPT1_0810000001_28" localSheetId="0">GMIC_22A_SCDPT1!$AF$109</definedName>
    <definedName name="SCDPT1_0810000001_29" localSheetId="0">GMIC_22A_SCDPT1!$AG$109</definedName>
    <definedName name="SCDPT1_0810000001_3" localSheetId="0">GMIC_22A_SCDPT1!$E$109</definedName>
    <definedName name="SCDPT1_0810000001_30" localSheetId="0">GMIC_22A_SCDPT1!$AH$109</definedName>
    <definedName name="SCDPT1_0810000001_31" localSheetId="0">GMIC_22A_SCDPT1!$AI$109</definedName>
    <definedName name="SCDPT1_0810000001_32" localSheetId="0">GMIC_22A_SCDPT1!$AJ$109</definedName>
    <definedName name="SCDPT1_0810000001_33" localSheetId="0">GMIC_22A_SCDPT1!$AK$109</definedName>
    <definedName name="SCDPT1_0810000001_34" localSheetId="0">GMIC_22A_SCDPT1!$AL$109</definedName>
    <definedName name="SCDPT1_0810000001_35" localSheetId="0">GMIC_22A_SCDPT1!$AM$109</definedName>
    <definedName name="SCDPT1_0810000001_36" localSheetId="0">GMIC_22A_SCDPT1!$AN$109</definedName>
    <definedName name="SCDPT1_0810000001_4" localSheetId="0">GMIC_22A_SCDPT1!$F$109</definedName>
    <definedName name="SCDPT1_0810000001_5" localSheetId="0">GMIC_22A_SCDPT1!$G$109</definedName>
    <definedName name="SCDPT1_0810000001_6.01" localSheetId="0">GMIC_22A_SCDPT1!$H$109</definedName>
    <definedName name="SCDPT1_0810000001_6.02" localSheetId="0">GMIC_22A_SCDPT1!$I$109</definedName>
    <definedName name="SCDPT1_0810000001_6.03" localSheetId="0">GMIC_22A_SCDPT1!$J$109</definedName>
    <definedName name="SCDPT1_0810000001_7" localSheetId="0">GMIC_22A_SCDPT1!$K$109</definedName>
    <definedName name="SCDPT1_0810000001_8" localSheetId="0">GMIC_22A_SCDPT1!$L$109</definedName>
    <definedName name="SCDPT1_0810000001_9" localSheetId="0">GMIC_22A_SCDPT1!$M$109</definedName>
    <definedName name="SCDPT1_0819999999_10" localSheetId="0">GMIC_22A_SCDPT1!$N$182</definedName>
    <definedName name="SCDPT1_0819999999_11" localSheetId="0">GMIC_22A_SCDPT1!$O$182</definedName>
    <definedName name="SCDPT1_0819999999_12" localSheetId="0">GMIC_22A_SCDPT1!$P$182</definedName>
    <definedName name="SCDPT1_0819999999_13" localSheetId="0">GMIC_22A_SCDPT1!$Q$182</definedName>
    <definedName name="SCDPT1_0819999999_14" localSheetId="0">GMIC_22A_SCDPT1!$R$182</definedName>
    <definedName name="SCDPT1_0819999999_15" localSheetId="0">GMIC_22A_SCDPT1!$S$182</definedName>
    <definedName name="SCDPT1_0819999999_19" localSheetId="0">GMIC_22A_SCDPT1!$W$182</definedName>
    <definedName name="SCDPT1_0819999999_20" localSheetId="0">GMIC_22A_SCDPT1!$X$182</definedName>
    <definedName name="SCDPT1_0819999999_7" localSheetId="0">GMIC_22A_SCDPT1!$K$182</definedName>
    <definedName name="SCDPT1_0819999999_9" localSheetId="0">GMIC_22A_SCDPT1!$M$182</definedName>
    <definedName name="SCDPT1_081BEGINNG_1" localSheetId="0">GMIC_22A_SCDPT1!$C$108</definedName>
    <definedName name="SCDPT1_081BEGINNG_10" localSheetId="0">GMIC_22A_SCDPT1!$N$108</definedName>
    <definedName name="SCDPT1_081BEGINNG_11" localSheetId="0">GMIC_22A_SCDPT1!$O$108</definedName>
    <definedName name="SCDPT1_081BEGINNG_12" localSheetId="0">GMIC_22A_SCDPT1!$P$108</definedName>
    <definedName name="SCDPT1_081BEGINNG_13" localSheetId="0">GMIC_22A_SCDPT1!$Q$108</definedName>
    <definedName name="SCDPT1_081BEGINNG_14" localSheetId="0">GMIC_22A_SCDPT1!$R$108</definedName>
    <definedName name="SCDPT1_081BEGINNG_15" localSheetId="0">GMIC_22A_SCDPT1!$S$108</definedName>
    <definedName name="SCDPT1_081BEGINNG_16" localSheetId="0">GMIC_22A_SCDPT1!$T$108</definedName>
    <definedName name="SCDPT1_081BEGINNG_17" localSheetId="0">GMIC_22A_SCDPT1!$U$108</definedName>
    <definedName name="SCDPT1_081BEGINNG_18" localSheetId="0">GMIC_22A_SCDPT1!$V$108</definedName>
    <definedName name="SCDPT1_081BEGINNG_19" localSheetId="0">GMIC_22A_SCDPT1!$W$108</definedName>
    <definedName name="SCDPT1_081BEGINNG_2" localSheetId="0">GMIC_22A_SCDPT1!$D$108</definedName>
    <definedName name="SCDPT1_081BEGINNG_20" localSheetId="0">GMIC_22A_SCDPT1!$X$108</definedName>
    <definedName name="SCDPT1_081BEGINNG_21" localSheetId="0">GMIC_22A_SCDPT1!$Y$108</definedName>
    <definedName name="SCDPT1_081BEGINNG_22" localSheetId="0">GMIC_22A_SCDPT1!$Z$108</definedName>
    <definedName name="SCDPT1_081BEGINNG_23" localSheetId="0">GMIC_22A_SCDPT1!$AA$108</definedName>
    <definedName name="SCDPT1_081BEGINNG_24" localSheetId="0">GMIC_22A_SCDPT1!$AB$108</definedName>
    <definedName name="SCDPT1_081BEGINNG_25" localSheetId="0">GMIC_22A_SCDPT1!$AC$108</definedName>
    <definedName name="SCDPT1_081BEGINNG_26" localSheetId="0">GMIC_22A_SCDPT1!$AD$108</definedName>
    <definedName name="SCDPT1_081BEGINNG_27" localSheetId="0">GMIC_22A_SCDPT1!$AE$108</definedName>
    <definedName name="SCDPT1_081BEGINNG_28" localSheetId="0">GMIC_22A_SCDPT1!$AF$108</definedName>
    <definedName name="SCDPT1_081BEGINNG_29" localSheetId="0">GMIC_22A_SCDPT1!$AG$108</definedName>
    <definedName name="SCDPT1_081BEGINNG_3" localSheetId="0">GMIC_22A_SCDPT1!$E$108</definedName>
    <definedName name="SCDPT1_081BEGINNG_30" localSheetId="0">GMIC_22A_SCDPT1!$AH$108</definedName>
    <definedName name="SCDPT1_081BEGINNG_31" localSheetId="0">GMIC_22A_SCDPT1!$AI$108</definedName>
    <definedName name="SCDPT1_081BEGINNG_32" localSheetId="0">GMIC_22A_SCDPT1!$AJ$108</definedName>
    <definedName name="SCDPT1_081BEGINNG_33" localSheetId="0">GMIC_22A_SCDPT1!$AK$108</definedName>
    <definedName name="SCDPT1_081BEGINNG_34" localSheetId="0">GMIC_22A_SCDPT1!$AL$108</definedName>
    <definedName name="SCDPT1_081BEGINNG_35" localSheetId="0">GMIC_22A_SCDPT1!$AM$108</definedName>
    <definedName name="SCDPT1_081BEGINNG_36" localSheetId="0">GMIC_22A_SCDPT1!$AN$108</definedName>
    <definedName name="SCDPT1_081BEGINNG_4" localSheetId="0">GMIC_22A_SCDPT1!$F$108</definedName>
    <definedName name="SCDPT1_081BEGINNG_5" localSheetId="0">GMIC_22A_SCDPT1!$G$108</definedName>
    <definedName name="SCDPT1_081BEGINNG_6.01" localSheetId="0">GMIC_22A_SCDPT1!$H$108</definedName>
    <definedName name="SCDPT1_081BEGINNG_6.02" localSheetId="0">GMIC_22A_SCDPT1!$I$108</definedName>
    <definedName name="SCDPT1_081BEGINNG_6.03" localSheetId="0">GMIC_22A_SCDPT1!$J$108</definedName>
    <definedName name="SCDPT1_081BEGINNG_7" localSheetId="0">GMIC_22A_SCDPT1!$K$108</definedName>
    <definedName name="SCDPT1_081BEGINNG_8" localSheetId="0">GMIC_22A_SCDPT1!$L$108</definedName>
    <definedName name="SCDPT1_081BEGINNG_9" localSheetId="0">GMIC_22A_SCDPT1!$M$108</definedName>
    <definedName name="SCDPT1_081ENDINGG_10" localSheetId="0">GMIC_22A_SCDPT1!$N$181</definedName>
    <definedName name="SCDPT1_081ENDINGG_11" localSheetId="0">GMIC_22A_SCDPT1!$O$181</definedName>
    <definedName name="SCDPT1_081ENDINGG_12" localSheetId="0">GMIC_22A_SCDPT1!$P$181</definedName>
    <definedName name="SCDPT1_081ENDINGG_13" localSheetId="0">GMIC_22A_SCDPT1!$Q$181</definedName>
    <definedName name="SCDPT1_081ENDINGG_14" localSheetId="0">GMIC_22A_SCDPT1!$R$181</definedName>
    <definedName name="SCDPT1_081ENDINGG_15" localSheetId="0">GMIC_22A_SCDPT1!$S$181</definedName>
    <definedName name="SCDPT1_081ENDINGG_16" localSheetId="0">GMIC_22A_SCDPT1!$T$181</definedName>
    <definedName name="SCDPT1_081ENDINGG_17" localSheetId="0">GMIC_22A_SCDPT1!$U$181</definedName>
    <definedName name="SCDPT1_081ENDINGG_18" localSheetId="0">GMIC_22A_SCDPT1!$V$181</definedName>
    <definedName name="SCDPT1_081ENDINGG_19" localSheetId="0">GMIC_22A_SCDPT1!$W$181</definedName>
    <definedName name="SCDPT1_081ENDINGG_2" localSheetId="0">GMIC_22A_SCDPT1!$D$181</definedName>
    <definedName name="SCDPT1_081ENDINGG_20" localSheetId="0">GMIC_22A_SCDPT1!$X$181</definedName>
    <definedName name="SCDPT1_081ENDINGG_21" localSheetId="0">GMIC_22A_SCDPT1!$Y$181</definedName>
    <definedName name="SCDPT1_081ENDINGG_22" localSheetId="0">GMIC_22A_SCDPT1!$Z$181</definedName>
    <definedName name="SCDPT1_081ENDINGG_23" localSheetId="0">GMIC_22A_SCDPT1!$AA$181</definedName>
    <definedName name="SCDPT1_081ENDINGG_24" localSheetId="0">GMIC_22A_SCDPT1!$AB$181</definedName>
    <definedName name="SCDPT1_081ENDINGG_25" localSheetId="0">GMIC_22A_SCDPT1!$AC$181</definedName>
    <definedName name="SCDPT1_081ENDINGG_26" localSheetId="0">GMIC_22A_SCDPT1!$AD$181</definedName>
    <definedName name="SCDPT1_081ENDINGG_27" localSheetId="0">GMIC_22A_SCDPT1!$AE$181</definedName>
    <definedName name="SCDPT1_081ENDINGG_28" localSheetId="0">GMIC_22A_SCDPT1!$AF$181</definedName>
    <definedName name="SCDPT1_081ENDINGG_29" localSheetId="0">GMIC_22A_SCDPT1!$AG$181</definedName>
    <definedName name="SCDPT1_081ENDINGG_3" localSheetId="0">GMIC_22A_SCDPT1!$E$181</definedName>
    <definedName name="SCDPT1_081ENDINGG_30" localSheetId="0">GMIC_22A_SCDPT1!$AH$181</definedName>
    <definedName name="SCDPT1_081ENDINGG_31" localSheetId="0">GMIC_22A_SCDPT1!$AI$181</definedName>
    <definedName name="SCDPT1_081ENDINGG_32" localSheetId="0">GMIC_22A_SCDPT1!$AJ$181</definedName>
    <definedName name="SCDPT1_081ENDINGG_33" localSheetId="0">GMIC_22A_SCDPT1!$AK$181</definedName>
    <definedName name="SCDPT1_081ENDINGG_34" localSheetId="0">GMIC_22A_SCDPT1!$AL$181</definedName>
    <definedName name="SCDPT1_081ENDINGG_35" localSheetId="0">GMIC_22A_SCDPT1!$AM$181</definedName>
    <definedName name="SCDPT1_081ENDINGG_36" localSheetId="0">GMIC_22A_SCDPT1!$AN$181</definedName>
    <definedName name="SCDPT1_081ENDINGG_4" localSheetId="0">GMIC_22A_SCDPT1!$F$181</definedName>
    <definedName name="SCDPT1_081ENDINGG_5" localSheetId="0">GMIC_22A_SCDPT1!$G$181</definedName>
    <definedName name="SCDPT1_081ENDINGG_6.01" localSheetId="0">GMIC_22A_SCDPT1!$H$181</definedName>
    <definedName name="SCDPT1_081ENDINGG_6.02" localSheetId="0">GMIC_22A_SCDPT1!$I$181</definedName>
    <definedName name="SCDPT1_081ENDINGG_6.03" localSheetId="0">GMIC_22A_SCDPT1!$J$181</definedName>
    <definedName name="SCDPT1_081ENDINGG_7" localSheetId="0">GMIC_22A_SCDPT1!$K$181</definedName>
    <definedName name="SCDPT1_081ENDINGG_8" localSheetId="0">GMIC_22A_SCDPT1!$L$181</definedName>
    <definedName name="SCDPT1_081ENDINGG_9" localSheetId="0">GMIC_22A_SCDPT1!$M$181</definedName>
    <definedName name="SCDPT1_0820000000_Range" localSheetId="0">GMIC_22A_SCDPT1!$B$183:$AN$185</definedName>
    <definedName name="SCDPT1_0829999999_10" localSheetId="0">GMIC_22A_SCDPT1!$N$186</definedName>
    <definedName name="SCDPT1_0829999999_11" localSheetId="0">GMIC_22A_SCDPT1!$O$186</definedName>
    <definedName name="SCDPT1_0829999999_12" localSheetId="0">GMIC_22A_SCDPT1!$P$186</definedName>
    <definedName name="SCDPT1_0829999999_13" localSheetId="0">GMIC_22A_SCDPT1!$Q$186</definedName>
    <definedName name="SCDPT1_0829999999_14" localSheetId="0">GMIC_22A_SCDPT1!$R$186</definedName>
    <definedName name="SCDPT1_0829999999_15" localSheetId="0">GMIC_22A_SCDPT1!$S$186</definedName>
    <definedName name="SCDPT1_0829999999_19" localSheetId="0">GMIC_22A_SCDPT1!$W$186</definedName>
    <definedName name="SCDPT1_0829999999_20" localSheetId="0">GMIC_22A_SCDPT1!$X$186</definedName>
    <definedName name="SCDPT1_0829999999_7" localSheetId="0">GMIC_22A_SCDPT1!$K$186</definedName>
    <definedName name="SCDPT1_0829999999_9" localSheetId="0">GMIC_22A_SCDPT1!$M$186</definedName>
    <definedName name="SCDPT1_082BEGINNG_1" localSheetId="0">GMIC_22A_SCDPT1!$C$183</definedName>
    <definedName name="SCDPT1_082BEGINNG_10" localSheetId="0">GMIC_22A_SCDPT1!$N$183</definedName>
    <definedName name="SCDPT1_082BEGINNG_11" localSheetId="0">GMIC_22A_SCDPT1!$O$183</definedName>
    <definedName name="SCDPT1_082BEGINNG_12" localSheetId="0">GMIC_22A_SCDPT1!$P$183</definedName>
    <definedName name="SCDPT1_082BEGINNG_13" localSheetId="0">GMIC_22A_SCDPT1!$Q$183</definedName>
    <definedName name="SCDPT1_082BEGINNG_14" localSheetId="0">GMIC_22A_SCDPT1!$R$183</definedName>
    <definedName name="SCDPT1_082BEGINNG_15" localSheetId="0">GMIC_22A_SCDPT1!$S$183</definedName>
    <definedName name="SCDPT1_082BEGINNG_16" localSheetId="0">GMIC_22A_SCDPT1!$T$183</definedName>
    <definedName name="SCDPT1_082BEGINNG_17" localSheetId="0">GMIC_22A_SCDPT1!$U$183</definedName>
    <definedName name="SCDPT1_082BEGINNG_18" localSheetId="0">GMIC_22A_SCDPT1!$V$183</definedName>
    <definedName name="SCDPT1_082BEGINNG_19" localSheetId="0">GMIC_22A_SCDPT1!$W$183</definedName>
    <definedName name="SCDPT1_082BEGINNG_2" localSheetId="0">GMIC_22A_SCDPT1!$D$183</definedName>
    <definedName name="SCDPT1_082BEGINNG_20" localSheetId="0">GMIC_22A_SCDPT1!$X$183</definedName>
    <definedName name="SCDPT1_082BEGINNG_21" localSheetId="0">GMIC_22A_SCDPT1!$Y$183</definedName>
    <definedName name="SCDPT1_082BEGINNG_22" localSheetId="0">GMIC_22A_SCDPT1!$Z$183</definedName>
    <definedName name="SCDPT1_082BEGINNG_23" localSheetId="0">GMIC_22A_SCDPT1!$AA$183</definedName>
    <definedName name="SCDPT1_082BEGINNG_24" localSheetId="0">GMIC_22A_SCDPT1!$AB$183</definedName>
    <definedName name="SCDPT1_082BEGINNG_25" localSheetId="0">GMIC_22A_SCDPT1!$AC$183</definedName>
    <definedName name="SCDPT1_082BEGINNG_26" localSheetId="0">GMIC_22A_SCDPT1!$AD$183</definedName>
    <definedName name="SCDPT1_082BEGINNG_27" localSheetId="0">GMIC_22A_SCDPT1!$AE$183</definedName>
    <definedName name="SCDPT1_082BEGINNG_28" localSheetId="0">GMIC_22A_SCDPT1!$AF$183</definedName>
    <definedName name="SCDPT1_082BEGINNG_29" localSheetId="0">GMIC_22A_SCDPT1!$AG$183</definedName>
    <definedName name="SCDPT1_082BEGINNG_3" localSheetId="0">GMIC_22A_SCDPT1!$E$183</definedName>
    <definedName name="SCDPT1_082BEGINNG_30" localSheetId="0">GMIC_22A_SCDPT1!$AH$183</definedName>
    <definedName name="SCDPT1_082BEGINNG_31" localSheetId="0">GMIC_22A_SCDPT1!$AI$183</definedName>
    <definedName name="SCDPT1_082BEGINNG_32" localSheetId="0">GMIC_22A_SCDPT1!$AJ$183</definedName>
    <definedName name="SCDPT1_082BEGINNG_33" localSheetId="0">GMIC_22A_SCDPT1!$AK$183</definedName>
    <definedName name="SCDPT1_082BEGINNG_34" localSheetId="0">GMIC_22A_SCDPT1!$AL$183</definedName>
    <definedName name="SCDPT1_082BEGINNG_35" localSheetId="0">GMIC_22A_SCDPT1!$AM$183</definedName>
    <definedName name="SCDPT1_082BEGINNG_36" localSheetId="0">GMIC_22A_SCDPT1!$AN$183</definedName>
    <definedName name="SCDPT1_082BEGINNG_4" localSheetId="0">GMIC_22A_SCDPT1!$F$183</definedName>
    <definedName name="SCDPT1_082BEGINNG_5" localSheetId="0">GMIC_22A_SCDPT1!$G$183</definedName>
    <definedName name="SCDPT1_082BEGINNG_6.01" localSheetId="0">GMIC_22A_SCDPT1!$H$183</definedName>
    <definedName name="SCDPT1_082BEGINNG_6.02" localSheetId="0">GMIC_22A_SCDPT1!$I$183</definedName>
    <definedName name="SCDPT1_082BEGINNG_6.03" localSheetId="0">GMIC_22A_SCDPT1!$J$183</definedName>
    <definedName name="SCDPT1_082BEGINNG_7" localSheetId="0">GMIC_22A_SCDPT1!$K$183</definedName>
    <definedName name="SCDPT1_082BEGINNG_8" localSheetId="0">GMIC_22A_SCDPT1!$L$183</definedName>
    <definedName name="SCDPT1_082BEGINNG_9" localSheetId="0">GMIC_22A_SCDPT1!$M$183</definedName>
    <definedName name="SCDPT1_082ENDINGG_10" localSheetId="0">GMIC_22A_SCDPT1!$N$185</definedName>
    <definedName name="SCDPT1_082ENDINGG_11" localSheetId="0">GMIC_22A_SCDPT1!$O$185</definedName>
    <definedName name="SCDPT1_082ENDINGG_12" localSheetId="0">GMIC_22A_SCDPT1!$P$185</definedName>
    <definedName name="SCDPT1_082ENDINGG_13" localSheetId="0">GMIC_22A_SCDPT1!$Q$185</definedName>
    <definedName name="SCDPT1_082ENDINGG_14" localSheetId="0">GMIC_22A_SCDPT1!$R$185</definedName>
    <definedName name="SCDPT1_082ENDINGG_15" localSheetId="0">GMIC_22A_SCDPT1!$S$185</definedName>
    <definedName name="SCDPT1_082ENDINGG_16" localSheetId="0">GMIC_22A_SCDPT1!$T$185</definedName>
    <definedName name="SCDPT1_082ENDINGG_17" localSheetId="0">GMIC_22A_SCDPT1!$U$185</definedName>
    <definedName name="SCDPT1_082ENDINGG_18" localSheetId="0">GMIC_22A_SCDPT1!$V$185</definedName>
    <definedName name="SCDPT1_082ENDINGG_19" localSheetId="0">GMIC_22A_SCDPT1!$W$185</definedName>
    <definedName name="SCDPT1_082ENDINGG_2" localSheetId="0">GMIC_22A_SCDPT1!$D$185</definedName>
    <definedName name="SCDPT1_082ENDINGG_20" localSheetId="0">GMIC_22A_SCDPT1!$X$185</definedName>
    <definedName name="SCDPT1_082ENDINGG_21" localSheetId="0">GMIC_22A_SCDPT1!$Y$185</definedName>
    <definedName name="SCDPT1_082ENDINGG_22" localSheetId="0">GMIC_22A_SCDPT1!$Z$185</definedName>
    <definedName name="SCDPT1_082ENDINGG_23" localSheetId="0">GMIC_22A_SCDPT1!$AA$185</definedName>
    <definedName name="SCDPT1_082ENDINGG_24" localSheetId="0">GMIC_22A_SCDPT1!$AB$185</definedName>
    <definedName name="SCDPT1_082ENDINGG_25" localSheetId="0">GMIC_22A_SCDPT1!$AC$185</definedName>
    <definedName name="SCDPT1_082ENDINGG_26" localSheetId="0">GMIC_22A_SCDPT1!$AD$185</definedName>
    <definedName name="SCDPT1_082ENDINGG_27" localSheetId="0">GMIC_22A_SCDPT1!$AE$185</definedName>
    <definedName name="SCDPT1_082ENDINGG_28" localSheetId="0">GMIC_22A_SCDPT1!$AF$185</definedName>
    <definedName name="SCDPT1_082ENDINGG_29" localSheetId="0">GMIC_22A_SCDPT1!$AG$185</definedName>
    <definedName name="SCDPT1_082ENDINGG_3" localSheetId="0">GMIC_22A_SCDPT1!$E$185</definedName>
    <definedName name="SCDPT1_082ENDINGG_30" localSheetId="0">GMIC_22A_SCDPT1!$AH$185</definedName>
    <definedName name="SCDPT1_082ENDINGG_31" localSheetId="0">GMIC_22A_SCDPT1!$AI$185</definedName>
    <definedName name="SCDPT1_082ENDINGG_32" localSheetId="0">GMIC_22A_SCDPT1!$AJ$185</definedName>
    <definedName name="SCDPT1_082ENDINGG_33" localSheetId="0">GMIC_22A_SCDPT1!$AK$185</definedName>
    <definedName name="SCDPT1_082ENDINGG_34" localSheetId="0">GMIC_22A_SCDPT1!$AL$185</definedName>
    <definedName name="SCDPT1_082ENDINGG_35" localSheetId="0">GMIC_22A_SCDPT1!$AM$185</definedName>
    <definedName name="SCDPT1_082ENDINGG_36" localSheetId="0">GMIC_22A_SCDPT1!$AN$185</definedName>
    <definedName name="SCDPT1_082ENDINGG_4" localSheetId="0">GMIC_22A_SCDPT1!$F$185</definedName>
    <definedName name="SCDPT1_082ENDINGG_5" localSheetId="0">GMIC_22A_SCDPT1!$G$185</definedName>
    <definedName name="SCDPT1_082ENDINGG_6.01" localSheetId="0">GMIC_22A_SCDPT1!$H$185</definedName>
    <definedName name="SCDPT1_082ENDINGG_6.02" localSheetId="0">GMIC_22A_SCDPT1!$I$185</definedName>
    <definedName name="SCDPT1_082ENDINGG_6.03" localSheetId="0">GMIC_22A_SCDPT1!$J$185</definedName>
    <definedName name="SCDPT1_082ENDINGG_7" localSheetId="0">GMIC_22A_SCDPT1!$K$185</definedName>
    <definedName name="SCDPT1_082ENDINGG_8" localSheetId="0">GMIC_22A_SCDPT1!$L$185</definedName>
    <definedName name="SCDPT1_082ENDINGG_9" localSheetId="0">GMIC_22A_SCDPT1!$M$185</definedName>
    <definedName name="SCDPT1_0830000000_Range" localSheetId="0">GMIC_22A_SCDPT1!$B$187:$AN$189</definedName>
    <definedName name="SCDPT1_0839999999_10" localSheetId="0">GMIC_22A_SCDPT1!$N$190</definedName>
    <definedName name="SCDPT1_0839999999_11" localSheetId="0">GMIC_22A_SCDPT1!$O$190</definedName>
    <definedName name="SCDPT1_0839999999_12" localSheetId="0">GMIC_22A_SCDPT1!$P$190</definedName>
    <definedName name="SCDPT1_0839999999_13" localSheetId="0">GMIC_22A_SCDPT1!$Q$190</definedName>
    <definedName name="SCDPT1_0839999999_14" localSheetId="0">GMIC_22A_SCDPT1!$R$190</definedName>
    <definedName name="SCDPT1_0839999999_15" localSheetId="0">GMIC_22A_SCDPT1!$S$190</definedName>
    <definedName name="SCDPT1_0839999999_19" localSheetId="0">GMIC_22A_SCDPT1!$W$190</definedName>
    <definedName name="SCDPT1_0839999999_20" localSheetId="0">GMIC_22A_SCDPT1!$X$190</definedName>
    <definedName name="SCDPT1_0839999999_7" localSheetId="0">GMIC_22A_SCDPT1!$K$190</definedName>
    <definedName name="SCDPT1_0839999999_9" localSheetId="0">GMIC_22A_SCDPT1!$M$190</definedName>
    <definedName name="SCDPT1_083BEGINNG_1" localSheetId="0">GMIC_22A_SCDPT1!$C$187</definedName>
    <definedName name="SCDPT1_083BEGINNG_10" localSheetId="0">GMIC_22A_SCDPT1!$N$187</definedName>
    <definedName name="SCDPT1_083BEGINNG_11" localSheetId="0">GMIC_22A_SCDPT1!$O$187</definedName>
    <definedName name="SCDPT1_083BEGINNG_12" localSheetId="0">GMIC_22A_SCDPT1!$P$187</definedName>
    <definedName name="SCDPT1_083BEGINNG_13" localSheetId="0">GMIC_22A_SCDPT1!$Q$187</definedName>
    <definedName name="SCDPT1_083BEGINNG_14" localSheetId="0">GMIC_22A_SCDPT1!$R$187</definedName>
    <definedName name="SCDPT1_083BEGINNG_15" localSheetId="0">GMIC_22A_SCDPT1!$S$187</definedName>
    <definedName name="SCDPT1_083BEGINNG_16" localSheetId="0">GMIC_22A_SCDPT1!$T$187</definedName>
    <definedName name="SCDPT1_083BEGINNG_17" localSheetId="0">GMIC_22A_SCDPT1!$U$187</definedName>
    <definedName name="SCDPT1_083BEGINNG_18" localSheetId="0">GMIC_22A_SCDPT1!$V$187</definedName>
    <definedName name="SCDPT1_083BEGINNG_19" localSheetId="0">GMIC_22A_SCDPT1!$W$187</definedName>
    <definedName name="SCDPT1_083BEGINNG_2" localSheetId="0">GMIC_22A_SCDPT1!$D$187</definedName>
    <definedName name="SCDPT1_083BEGINNG_20" localSheetId="0">GMIC_22A_SCDPT1!$X$187</definedName>
    <definedName name="SCDPT1_083BEGINNG_21" localSheetId="0">GMIC_22A_SCDPT1!$Y$187</definedName>
    <definedName name="SCDPT1_083BEGINNG_22" localSheetId="0">GMIC_22A_SCDPT1!$Z$187</definedName>
    <definedName name="SCDPT1_083BEGINNG_23" localSheetId="0">GMIC_22A_SCDPT1!$AA$187</definedName>
    <definedName name="SCDPT1_083BEGINNG_24" localSheetId="0">GMIC_22A_SCDPT1!$AB$187</definedName>
    <definedName name="SCDPT1_083BEGINNG_25" localSheetId="0">GMIC_22A_SCDPT1!$AC$187</definedName>
    <definedName name="SCDPT1_083BEGINNG_26" localSheetId="0">GMIC_22A_SCDPT1!$AD$187</definedName>
    <definedName name="SCDPT1_083BEGINNG_27" localSheetId="0">GMIC_22A_SCDPT1!$AE$187</definedName>
    <definedName name="SCDPT1_083BEGINNG_28" localSheetId="0">GMIC_22A_SCDPT1!$AF$187</definedName>
    <definedName name="SCDPT1_083BEGINNG_29" localSheetId="0">GMIC_22A_SCDPT1!$AG$187</definedName>
    <definedName name="SCDPT1_083BEGINNG_3" localSheetId="0">GMIC_22A_SCDPT1!$E$187</definedName>
    <definedName name="SCDPT1_083BEGINNG_30" localSheetId="0">GMIC_22A_SCDPT1!$AH$187</definedName>
    <definedName name="SCDPT1_083BEGINNG_31" localSheetId="0">GMIC_22A_SCDPT1!$AI$187</definedName>
    <definedName name="SCDPT1_083BEGINNG_32" localSheetId="0">GMIC_22A_SCDPT1!$AJ$187</definedName>
    <definedName name="SCDPT1_083BEGINNG_33" localSheetId="0">GMIC_22A_SCDPT1!$AK$187</definedName>
    <definedName name="SCDPT1_083BEGINNG_34" localSheetId="0">GMIC_22A_SCDPT1!$AL$187</definedName>
    <definedName name="SCDPT1_083BEGINNG_35" localSheetId="0">GMIC_22A_SCDPT1!$AM$187</definedName>
    <definedName name="SCDPT1_083BEGINNG_36" localSheetId="0">GMIC_22A_SCDPT1!$AN$187</definedName>
    <definedName name="SCDPT1_083BEGINNG_4" localSheetId="0">GMIC_22A_SCDPT1!$F$187</definedName>
    <definedName name="SCDPT1_083BEGINNG_5" localSheetId="0">GMIC_22A_SCDPT1!$G$187</definedName>
    <definedName name="SCDPT1_083BEGINNG_6.01" localSheetId="0">GMIC_22A_SCDPT1!$H$187</definedName>
    <definedName name="SCDPT1_083BEGINNG_6.02" localSheetId="0">GMIC_22A_SCDPT1!$I$187</definedName>
    <definedName name="SCDPT1_083BEGINNG_6.03" localSheetId="0">GMIC_22A_SCDPT1!$J$187</definedName>
    <definedName name="SCDPT1_083BEGINNG_7" localSheetId="0">GMIC_22A_SCDPT1!$K$187</definedName>
    <definedName name="SCDPT1_083BEGINNG_8" localSheetId="0">GMIC_22A_SCDPT1!$L$187</definedName>
    <definedName name="SCDPT1_083BEGINNG_9" localSheetId="0">GMIC_22A_SCDPT1!$M$187</definedName>
    <definedName name="SCDPT1_083ENDINGG_10" localSheetId="0">GMIC_22A_SCDPT1!$N$189</definedName>
    <definedName name="SCDPT1_083ENDINGG_11" localSheetId="0">GMIC_22A_SCDPT1!$O$189</definedName>
    <definedName name="SCDPT1_083ENDINGG_12" localSheetId="0">GMIC_22A_SCDPT1!$P$189</definedName>
    <definedName name="SCDPT1_083ENDINGG_13" localSheetId="0">GMIC_22A_SCDPT1!$Q$189</definedName>
    <definedName name="SCDPT1_083ENDINGG_14" localSheetId="0">GMIC_22A_SCDPT1!$R$189</definedName>
    <definedName name="SCDPT1_083ENDINGG_15" localSheetId="0">GMIC_22A_SCDPT1!$S$189</definedName>
    <definedName name="SCDPT1_083ENDINGG_16" localSheetId="0">GMIC_22A_SCDPT1!$T$189</definedName>
    <definedName name="SCDPT1_083ENDINGG_17" localSheetId="0">GMIC_22A_SCDPT1!$U$189</definedName>
    <definedName name="SCDPT1_083ENDINGG_18" localSheetId="0">GMIC_22A_SCDPT1!$V$189</definedName>
    <definedName name="SCDPT1_083ENDINGG_19" localSheetId="0">GMIC_22A_SCDPT1!$W$189</definedName>
    <definedName name="SCDPT1_083ENDINGG_2" localSheetId="0">GMIC_22A_SCDPT1!$D$189</definedName>
    <definedName name="SCDPT1_083ENDINGG_20" localSheetId="0">GMIC_22A_SCDPT1!$X$189</definedName>
    <definedName name="SCDPT1_083ENDINGG_21" localSheetId="0">GMIC_22A_SCDPT1!$Y$189</definedName>
    <definedName name="SCDPT1_083ENDINGG_22" localSheetId="0">GMIC_22A_SCDPT1!$Z$189</definedName>
    <definedName name="SCDPT1_083ENDINGG_23" localSheetId="0">GMIC_22A_SCDPT1!$AA$189</definedName>
    <definedName name="SCDPT1_083ENDINGG_24" localSheetId="0">GMIC_22A_SCDPT1!$AB$189</definedName>
    <definedName name="SCDPT1_083ENDINGG_25" localSheetId="0">GMIC_22A_SCDPT1!$AC$189</definedName>
    <definedName name="SCDPT1_083ENDINGG_26" localSheetId="0">GMIC_22A_SCDPT1!$AD$189</definedName>
    <definedName name="SCDPT1_083ENDINGG_27" localSheetId="0">GMIC_22A_SCDPT1!$AE$189</definedName>
    <definedName name="SCDPT1_083ENDINGG_28" localSheetId="0">GMIC_22A_SCDPT1!$AF$189</definedName>
    <definedName name="SCDPT1_083ENDINGG_29" localSheetId="0">GMIC_22A_SCDPT1!$AG$189</definedName>
    <definedName name="SCDPT1_083ENDINGG_3" localSheetId="0">GMIC_22A_SCDPT1!$E$189</definedName>
    <definedName name="SCDPT1_083ENDINGG_30" localSheetId="0">GMIC_22A_SCDPT1!$AH$189</definedName>
    <definedName name="SCDPT1_083ENDINGG_31" localSheetId="0">GMIC_22A_SCDPT1!$AI$189</definedName>
    <definedName name="SCDPT1_083ENDINGG_32" localSheetId="0">GMIC_22A_SCDPT1!$AJ$189</definedName>
    <definedName name="SCDPT1_083ENDINGG_33" localSheetId="0">GMIC_22A_SCDPT1!$AK$189</definedName>
    <definedName name="SCDPT1_083ENDINGG_34" localSheetId="0">GMIC_22A_SCDPT1!$AL$189</definedName>
    <definedName name="SCDPT1_083ENDINGG_35" localSheetId="0">GMIC_22A_SCDPT1!$AM$189</definedName>
    <definedName name="SCDPT1_083ENDINGG_36" localSheetId="0">GMIC_22A_SCDPT1!$AN$189</definedName>
    <definedName name="SCDPT1_083ENDINGG_4" localSheetId="0">GMIC_22A_SCDPT1!$F$189</definedName>
    <definedName name="SCDPT1_083ENDINGG_5" localSheetId="0">GMIC_22A_SCDPT1!$G$189</definedName>
    <definedName name="SCDPT1_083ENDINGG_6.01" localSheetId="0">GMIC_22A_SCDPT1!$H$189</definedName>
    <definedName name="SCDPT1_083ENDINGG_6.02" localSheetId="0">GMIC_22A_SCDPT1!$I$189</definedName>
    <definedName name="SCDPT1_083ENDINGG_6.03" localSheetId="0">GMIC_22A_SCDPT1!$J$189</definedName>
    <definedName name="SCDPT1_083ENDINGG_7" localSheetId="0">GMIC_22A_SCDPT1!$K$189</definedName>
    <definedName name="SCDPT1_083ENDINGG_8" localSheetId="0">GMIC_22A_SCDPT1!$L$189</definedName>
    <definedName name="SCDPT1_083ENDINGG_9" localSheetId="0">GMIC_22A_SCDPT1!$M$189</definedName>
    <definedName name="SCDPT1_0840000000_Range" localSheetId="0">GMIC_22A_SCDPT1!$B$191:$AN$193</definedName>
    <definedName name="SCDPT1_0849999999_10" localSheetId="0">GMIC_22A_SCDPT1!$N$194</definedName>
    <definedName name="SCDPT1_0849999999_11" localSheetId="0">GMIC_22A_SCDPT1!$O$194</definedName>
    <definedName name="SCDPT1_0849999999_12" localSheetId="0">GMIC_22A_SCDPT1!$P$194</definedName>
    <definedName name="SCDPT1_0849999999_13" localSheetId="0">GMIC_22A_SCDPT1!$Q$194</definedName>
    <definedName name="SCDPT1_0849999999_14" localSheetId="0">GMIC_22A_SCDPT1!$R$194</definedName>
    <definedName name="SCDPT1_0849999999_15" localSheetId="0">GMIC_22A_SCDPT1!$S$194</definedName>
    <definedName name="SCDPT1_0849999999_19" localSheetId="0">GMIC_22A_SCDPT1!$W$194</definedName>
    <definedName name="SCDPT1_0849999999_20" localSheetId="0">GMIC_22A_SCDPT1!$X$194</definedName>
    <definedName name="SCDPT1_0849999999_7" localSheetId="0">GMIC_22A_SCDPT1!$K$194</definedName>
    <definedName name="SCDPT1_0849999999_9" localSheetId="0">GMIC_22A_SCDPT1!$M$194</definedName>
    <definedName name="SCDPT1_084BEGINNG_1" localSheetId="0">GMIC_22A_SCDPT1!$C$191</definedName>
    <definedName name="SCDPT1_084BEGINNG_10" localSheetId="0">GMIC_22A_SCDPT1!$N$191</definedName>
    <definedName name="SCDPT1_084BEGINNG_11" localSheetId="0">GMIC_22A_SCDPT1!$O$191</definedName>
    <definedName name="SCDPT1_084BEGINNG_12" localSheetId="0">GMIC_22A_SCDPT1!$P$191</definedName>
    <definedName name="SCDPT1_084BEGINNG_13" localSheetId="0">GMIC_22A_SCDPT1!$Q$191</definedName>
    <definedName name="SCDPT1_084BEGINNG_14" localSheetId="0">GMIC_22A_SCDPT1!$R$191</definedName>
    <definedName name="SCDPT1_084BEGINNG_15" localSheetId="0">GMIC_22A_SCDPT1!$S$191</definedName>
    <definedName name="SCDPT1_084BEGINNG_16" localSheetId="0">GMIC_22A_SCDPT1!$T$191</definedName>
    <definedName name="SCDPT1_084BEGINNG_17" localSheetId="0">GMIC_22A_SCDPT1!$U$191</definedName>
    <definedName name="SCDPT1_084BEGINNG_18" localSheetId="0">GMIC_22A_SCDPT1!$V$191</definedName>
    <definedName name="SCDPT1_084BEGINNG_19" localSheetId="0">GMIC_22A_SCDPT1!$W$191</definedName>
    <definedName name="SCDPT1_084BEGINNG_2" localSheetId="0">GMIC_22A_SCDPT1!$D$191</definedName>
    <definedName name="SCDPT1_084BEGINNG_20" localSheetId="0">GMIC_22A_SCDPT1!$X$191</definedName>
    <definedName name="SCDPT1_084BEGINNG_21" localSheetId="0">GMIC_22A_SCDPT1!$Y$191</definedName>
    <definedName name="SCDPT1_084BEGINNG_22" localSheetId="0">GMIC_22A_SCDPT1!$Z$191</definedName>
    <definedName name="SCDPT1_084BEGINNG_23" localSheetId="0">GMIC_22A_SCDPT1!$AA$191</definedName>
    <definedName name="SCDPT1_084BEGINNG_24" localSheetId="0">GMIC_22A_SCDPT1!$AB$191</definedName>
    <definedName name="SCDPT1_084BEGINNG_25" localSheetId="0">GMIC_22A_SCDPT1!$AC$191</definedName>
    <definedName name="SCDPT1_084BEGINNG_26" localSheetId="0">GMIC_22A_SCDPT1!$AD$191</definedName>
    <definedName name="SCDPT1_084BEGINNG_27" localSheetId="0">GMIC_22A_SCDPT1!$AE$191</definedName>
    <definedName name="SCDPT1_084BEGINNG_28" localSheetId="0">GMIC_22A_SCDPT1!$AF$191</definedName>
    <definedName name="SCDPT1_084BEGINNG_29" localSheetId="0">GMIC_22A_SCDPT1!$AG$191</definedName>
    <definedName name="SCDPT1_084BEGINNG_3" localSheetId="0">GMIC_22A_SCDPT1!$E$191</definedName>
    <definedName name="SCDPT1_084BEGINNG_30" localSheetId="0">GMIC_22A_SCDPT1!$AH$191</definedName>
    <definedName name="SCDPT1_084BEGINNG_31" localSheetId="0">GMIC_22A_SCDPT1!$AI$191</definedName>
    <definedName name="SCDPT1_084BEGINNG_32" localSheetId="0">GMIC_22A_SCDPT1!$AJ$191</definedName>
    <definedName name="SCDPT1_084BEGINNG_33" localSheetId="0">GMIC_22A_SCDPT1!$AK$191</definedName>
    <definedName name="SCDPT1_084BEGINNG_34" localSheetId="0">GMIC_22A_SCDPT1!$AL$191</definedName>
    <definedName name="SCDPT1_084BEGINNG_35" localSheetId="0">GMIC_22A_SCDPT1!$AM$191</definedName>
    <definedName name="SCDPT1_084BEGINNG_36" localSheetId="0">GMIC_22A_SCDPT1!$AN$191</definedName>
    <definedName name="SCDPT1_084BEGINNG_4" localSheetId="0">GMIC_22A_SCDPT1!$F$191</definedName>
    <definedName name="SCDPT1_084BEGINNG_5" localSheetId="0">GMIC_22A_SCDPT1!$G$191</definedName>
    <definedName name="SCDPT1_084BEGINNG_6.01" localSheetId="0">GMIC_22A_SCDPT1!$H$191</definedName>
    <definedName name="SCDPT1_084BEGINNG_6.02" localSheetId="0">GMIC_22A_SCDPT1!$I$191</definedName>
    <definedName name="SCDPT1_084BEGINNG_6.03" localSheetId="0">GMIC_22A_SCDPT1!$J$191</definedName>
    <definedName name="SCDPT1_084BEGINNG_7" localSheetId="0">GMIC_22A_SCDPT1!$K$191</definedName>
    <definedName name="SCDPT1_084BEGINNG_8" localSheetId="0">GMIC_22A_SCDPT1!$L$191</definedName>
    <definedName name="SCDPT1_084BEGINNG_9" localSheetId="0">GMIC_22A_SCDPT1!$M$191</definedName>
    <definedName name="SCDPT1_084ENDINGG_10" localSheetId="0">GMIC_22A_SCDPT1!$N$193</definedName>
    <definedName name="SCDPT1_084ENDINGG_11" localSheetId="0">GMIC_22A_SCDPT1!$O$193</definedName>
    <definedName name="SCDPT1_084ENDINGG_12" localSheetId="0">GMIC_22A_SCDPT1!$P$193</definedName>
    <definedName name="SCDPT1_084ENDINGG_13" localSheetId="0">GMIC_22A_SCDPT1!$Q$193</definedName>
    <definedName name="SCDPT1_084ENDINGG_14" localSheetId="0">GMIC_22A_SCDPT1!$R$193</definedName>
    <definedName name="SCDPT1_084ENDINGG_15" localSheetId="0">GMIC_22A_SCDPT1!$S$193</definedName>
    <definedName name="SCDPT1_084ENDINGG_16" localSheetId="0">GMIC_22A_SCDPT1!$T$193</definedName>
    <definedName name="SCDPT1_084ENDINGG_17" localSheetId="0">GMIC_22A_SCDPT1!$U$193</definedName>
    <definedName name="SCDPT1_084ENDINGG_18" localSheetId="0">GMIC_22A_SCDPT1!$V$193</definedName>
    <definedName name="SCDPT1_084ENDINGG_19" localSheetId="0">GMIC_22A_SCDPT1!$W$193</definedName>
    <definedName name="SCDPT1_084ENDINGG_2" localSheetId="0">GMIC_22A_SCDPT1!$D$193</definedName>
    <definedName name="SCDPT1_084ENDINGG_20" localSheetId="0">GMIC_22A_SCDPT1!$X$193</definedName>
    <definedName name="SCDPT1_084ENDINGG_21" localSheetId="0">GMIC_22A_SCDPT1!$Y$193</definedName>
    <definedName name="SCDPT1_084ENDINGG_22" localSheetId="0">GMIC_22A_SCDPT1!$Z$193</definedName>
    <definedName name="SCDPT1_084ENDINGG_23" localSheetId="0">GMIC_22A_SCDPT1!$AA$193</definedName>
    <definedName name="SCDPT1_084ENDINGG_24" localSheetId="0">GMIC_22A_SCDPT1!$AB$193</definedName>
    <definedName name="SCDPT1_084ENDINGG_25" localSheetId="0">GMIC_22A_SCDPT1!$AC$193</definedName>
    <definedName name="SCDPT1_084ENDINGG_26" localSheetId="0">GMIC_22A_SCDPT1!$AD$193</definedName>
    <definedName name="SCDPT1_084ENDINGG_27" localSheetId="0">GMIC_22A_SCDPT1!$AE$193</definedName>
    <definedName name="SCDPT1_084ENDINGG_28" localSheetId="0">GMIC_22A_SCDPT1!$AF$193</definedName>
    <definedName name="SCDPT1_084ENDINGG_29" localSheetId="0">GMIC_22A_SCDPT1!$AG$193</definedName>
    <definedName name="SCDPT1_084ENDINGG_3" localSheetId="0">GMIC_22A_SCDPT1!$E$193</definedName>
    <definedName name="SCDPT1_084ENDINGG_30" localSheetId="0">GMIC_22A_SCDPT1!$AH$193</definedName>
    <definedName name="SCDPT1_084ENDINGG_31" localSheetId="0">GMIC_22A_SCDPT1!$AI$193</definedName>
    <definedName name="SCDPT1_084ENDINGG_32" localSheetId="0">GMIC_22A_SCDPT1!$AJ$193</definedName>
    <definedName name="SCDPT1_084ENDINGG_33" localSheetId="0">GMIC_22A_SCDPT1!$AK$193</definedName>
    <definedName name="SCDPT1_084ENDINGG_34" localSheetId="0">GMIC_22A_SCDPT1!$AL$193</definedName>
    <definedName name="SCDPT1_084ENDINGG_35" localSheetId="0">GMIC_22A_SCDPT1!$AM$193</definedName>
    <definedName name="SCDPT1_084ENDINGG_36" localSheetId="0">GMIC_22A_SCDPT1!$AN$193</definedName>
    <definedName name="SCDPT1_084ENDINGG_4" localSheetId="0">GMIC_22A_SCDPT1!$F$193</definedName>
    <definedName name="SCDPT1_084ENDINGG_5" localSheetId="0">GMIC_22A_SCDPT1!$G$193</definedName>
    <definedName name="SCDPT1_084ENDINGG_6.01" localSheetId="0">GMIC_22A_SCDPT1!$H$193</definedName>
    <definedName name="SCDPT1_084ENDINGG_6.02" localSheetId="0">GMIC_22A_SCDPT1!$I$193</definedName>
    <definedName name="SCDPT1_084ENDINGG_6.03" localSheetId="0">GMIC_22A_SCDPT1!$J$193</definedName>
    <definedName name="SCDPT1_084ENDINGG_7" localSheetId="0">GMIC_22A_SCDPT1!$K$193</definedName>
    <definedName name="SCDPT1_084ENDINGG_8" localSheetId="0">GMIC_22A_SCDPT1!$L$193</definedName>
    <definedName name="SCDPT1_084ENDINGG_9" localSheetId="0">GMIC_22A_SCDPT1!$M$193</definedName>
    <definedName name="SCDPT1_0909999999_10" localSheetId="0">GMIC_22A_SCDPT1!$N$195</definedName>
    <definedName name="SCDPT1_0909999999_11" localSheetId="0">GMIC_22A_SCDPT1!$O$195</definedName>
    <definedName name="SCDPT1_0909999999_12" localSheetId="0">GMIC_22A_SCDPT1!$P$195</definedName>
    <definedName name="SCDPT1_0909999999_13" localSheetId="0">GMIC_22A_SCDPT1!$Q$195</definedName>
    <definedName name="SCDPT1_0909999999_14" localSheetId="0">GMIC_22A_SCDPT1!$R$195</definedName>
    <definedName name="SCDPT1_0909999999_15" localSheetId="0">GMIC_22A_SCDPT1!$S$195</definedName>
    <definedName name="SCDPT1_0909999999_19" localSheetId="0">GMIC_22A_SCDPT1!$W$195</definedName>
    <definedName name="SCDPT1_0909999999_20" localSheetId="0">GMIC_22A_SCDPT1!$X$195</definedName>
    <definedName name="SCDPT1_0909999999_7" localSheetId="0">GMIC_22A_SCDPT1!$K$195</definedName>
    <definedName name="SCDPT1_0909999999_9" localSheetId="0">GMIC_22A_SCDPT1!$M$195</definedName>
    <definedName name="SCDPT1_1010000000_Range" localSheetId="0">GMIC_22A_SCDPT1!$B$196:$AN$793</definedName>
    <definedName name="SCDPT1_1010000001_1" localSheetId="0">GMIC_22A_SCDPT1!$C$197</definedName>
    <definedName name="SCDPT1_1010000001_10" localSheetId="0">GMIC_22A_SCDPT1!$N$197</definedName>
    <definedName name="SCDPT1_1010000001_11" localSheetId="0">GMIC_22A_SCDPT1!$O$197</definedName>
    <definedName name="SCDPT1_1010000001_12" localSheetId="0">GMIC_22A_SCDPT1!$P$197</definedName>
    <definedName name="SCDPT1_1010000001_13" localSheetId="0">GMIC_22A_SCDPT1!$Q$197</definedName>
    <definedName name="SCDPT1_1010000001_14" localSheetId="0">GMIC_22A_SCDPT1!$R$197</definedName>
    <definedName name="SCDPT1_1010000001_15" localSheetId="0">GMIC_22A_SCDPT1!$S$197</definedName>
    <definedName name="SCDPT1_1010000001_16" localSheetId="0">GMIC_22A_SCDPT1!$T$197</definedName>
    <definedName name="SCDPT1_1010000001_17" localSheetId="0">GMIC_22A_SCDPT1!$U$197</definedName>
    <definedName name="SCDPT1_1010000001_18" localSheetId="0">GMIC_22A_SCDPT1!$V$197</definedName>
    <definedName name="SCDPT1_1010000001_19" localSheetId="0">GMIC_22A_SCDPT1!$W$197</definedName>
    <definedName name="SCDPT1_1010000001_2" localSheetId="0">GMIC_22A_SCDPT1!$D$197</definedName>
    <definedName name="SCDPT1_1010000001_20" localSheetId="0">GMIC_22A_SCDPT1!$X$197</definedName>
    <definedName name="SCDPT1_1010000001_21" localSheetId="0">GMIC_22A_SCDPT1!$Y$197</definedName>
    <definedName name="SCDPT1_1010000001_22" localSheetId="0">GMIC_22A_SCDPT1!$Z$197</definedName>
    <definedName name="SCDPT1_1010000001_24" localSheetId="0">GMIC_22A_SCDPT1!$AB$197</definedName>
    <definedName name="SCDPT1_1010000001_25" localSheetId="0">GMIC_22A_SCDPT1!$AC$197</definedName>
    <definedName name="SCDPT1_1010000001_27" localSheetId="0">GMIC_22A_SCDPT1!$AE$197</definedName>
    <definedName name="SCDPT1_1010000001_28" localSheetId="0">GMIC_22A_SCDPT1!$AF$197</definedName>
    <definedName name="SCDPT1_1010000001_29" localSheetId="0">GMIC_22A_SCDPT1!$AG$197</definedName>
    <definedName name="SCDPT1_1010000001_3" localSheetId="0">GMIC_22A_SCDPT1!$E$197</definedName>
    <definedName name="SCDPT1_1010000001_30" localSheetId="0">GMIC_22A_SCDPT1!$AH$197</definedName>
    <definedName name="SCDPT1_1010000001_31" localSheetId="0">GMIC_22A_SCDPT1!$AI$197</definedName>
    <definedName name="SCDPT1_1010000001_32" localSheetId="0">GMIC_22A_SCDPT1!$AJ$197</definedName>
    <definedName name="SCDPT1_1010000001_33" localSheetId="0">GMIC_22A_SCDPT1!$AK$197</definedName>
    <definedName name="SCDPT1_1010000001_34" localSheetId="0">GMIC_22A_SCDPT1!$AL$197</definedName>
    <definedName name="SCDPT1_1010000001_35" localSheetId="0">GMIC_22A_SCDPT1!$AM$197</definedName>
    <definedName name="SCDPT1_1010000001_36" localSheetId="0">GMIC_22A_SCDPT1!$AN$197</definedName>
    <definedName name="SCDPT1_1010000001_4" localSheetId="0">GMIC_22A_SCDPT1!$F$197</definedName>
    <definedName name="SCDPT1_1010000001_5" localSheetId="0">GMIC_22A_SCDPT1!$G$197</definedName>
    <definedName name="SCDPT1_1010000001_6.01" localSheetId="0">GMIC_22A_SCDPT1!$H$197</definedName>
    <definedName name="SCDPT1_1010000001_6.02" localSheetId="0">GMIC_22A_SCDPT1!$I$197</definedName>
    <definedName name="SCDPT1_1010000001_6.03" localSheetId="0">GMIC_22A_SCDPT1!$J$197</definedName>
    <definedName name="SCDPT1_1010000001_7" localSheetId="0">GMIC_22A_SCDPT1!$K$197</definedName>
    <definedName name="SCDPT1_1010000001_8" localSheetId="0">GMIC_22A_SCDPT1!$L$197</definedName>
    <definedName name="SCDPT1_1010000001_9" localSheetId="0">GMIC_22A_SCDPT1!$M$197</definedName>
    <definedName name="SCDPT1_1019999999_10" localSheetId="0">GMIC_22A_SCDPT1!$N$794</definedName>
    <definedName name="SCDPT1_1019999999_11" localSheetId="0">GMIC_22A_SCDPT1!$O$794</definedName>
    <definedName name="SCDPT1_1019999999_12" localSheetId="0">GMIC_22A_SCDPT1!$P$794</definedName>
    <definedName name="SCDPT1_1019999999_13" localSheetId="0">GMIC_22A_SCDPT1!$Q$794</definedName>
    <definedName name="SCDPT1_1019999999_14" localSheetId="0">GMIC_22A_SCDPT1!$R$794</definedName>
    <definedName name="SCDPT1_1019999999_15" localSheetId="0">GMIC_22A_SCDPT1!$S$794</definedName>
    <definedName name="SCDPT1_1019999999_19" localSheetId="0">GMIC_22A_SCDPT1!$W$794</definedName>
    <definedName name="SCDPT1_1019999999_20" localSheetId="0">GMIC_22A_SCDPT1!$X$794</definedName>
    <definedName name="SCDPT1_1019999999_7" localSheetId="0">GMIC_22A_SCDPT1!$K$794</definedName>
    <definedName name="SCDPT1_1019999999_9" localSheetId="0">GMIC_22A_SCDPT1!$M$794</definedName>
    <definedName name="SCDPT1_101BEGINNG_1" localSheetId="0">GMIC_22A_SCDPT1!$C$196</definedName>
    <definedName name="SCDPT1_101BEGINNG_10" localSheetId="0">GMIC_22A_SCDPT1!$N$196</definedName>
    <definedName name="SCDPT1_101BEGINNG_11" localSheetId="0">GMIC_22A_SCDPT1!$O$196</definedName>
    <definedName name="SCDPT1_101BEGINNG_12" localSheetId="0">GMIC_22A_SCDPT1!$P$196</definedName>
    <definedName name="SCDPT1_101BEGINNG_13" localSheetId="0">GMIC_22A_SCDPT1!$Q$196</definedName>
    <definedName name="SCDPT1_101BEGINNG_14" localSheetId="0">GMIC_22A_SCDPT1!$R$196</definedName>
    <definedName name="SCDPT1_101BEGINNG_15" localSheetId="0">GMIC_22A_SCDPT1!$S$196</definedName>
    <definedName name="SCDPT1_101BEGINNG_16" localSheetId="0">GMIC_22A_SCDPT1!$T$196</definedName>
    <definedName name="SCDPT1_101BEGINNG_17" localSheetId="0">GMIC_22A_SCDPT1!$U$196</definedName>
    <definedName name="SCDPT1_101BEGINNG_18" localSheetId="0">GMIC_22A_SCDPT1!$V$196</definedName>
    <definedName name="SCDPT1_101BEGINNG_19" localSheetId="0">GMIC_22A_SCDPT1!$W$196</definedName>
    <definedName name="SCDPT1_101BEGINNG_2" localSheetId="0">GMIC_22A_SCDPT1!$D$196</definedName>
    <definedName name="SCDPT1_101BEGINNG_20" localSheetId="0">GMIC_22A_SCDPT1!$X$196</definedName>
    <definedName name="SCDPT1_101BEGINNG_21" localSheetId="0">GMIC_22A_SCDPT1!$Y$196</definedName>
    <definedName name="SCDPT1_101BEGINNG_22" localSheetId="0">GMIC_22A_SCDPT1!$Z$196</definedName>
    <definedName name="SCDPT1_101BEGINNG_23" localSheetId="0">GMIC_22A_SCDPT1!$AA$196</definedName>
    <definedName name="SCDPT1_101BEGINNG_24" localSheetId="0">GMIC_22A_SCDPT1!$AB$196</definedName>
    <definedName name="SCDPT1_101BEGINNG_25" localSheetId="0">GMIC_22A_SCDPT1!$AC$196</definedName>
    <definedName name="SCDPT1_101BEGINNG_26" localSheetId="0">GMIC_22A_SCDPT1!$AD$196</definedName>
    <definedName name="SCDPT1_101BEGINNG_27" localSheetId="0">GMIC_22A_SCDPT1!$AE$196</definedName>
    <definedName name="SCDPT1_101BEGINNG_28" localSheetId="0">GMIC_22A_SCDPT1!$AF$196</definedName>
    <definedName name="SCDPT1_101BEGINNG_29" localSheetId="0">GMIC_22A_SCDPT1!$AG$196</definedName>
    <definedName name="SCDPT1_101BEGINNG_3" localSheetId="0">GMIC_22A_SCDPT1!$E$196</definedName>
    <definedName name="SCDPT1_101BEGINNG_30" localSheetId="0">GMIC_22A_SCDPT1!$AH$196</definedName>
    <definedName name="SCDPT1_101BEGINNG_31" localSheetId="0">GMIC_22A_SCDPT1!$AI$196</definedName>
    <definedName name="SCDPT1_101BEGINNG_32" localSheetId="0">GMIC_22A_SCDPT1!$AJ$196</definedName>
    <definedName name="SCDPT1_101BEGINNG_33" localSheetId="0">GMIC_22A_SCDPT1!$AK$196</definedName>
    <definedName name="SCDPT1_101BEGINNG_34" localSheetId="0">GMIC_22A_SCDPT1!$AL$196</definedName>
    <definedName name="SCDPT1_101BEGINNG_35" localSheetId="0">GMIC_22A_SCDPT1!$AM$196</definedName>
    <definedName name="SCDPT1_101BEGINNG_36" localSheetId="0">GMIC_22A_SCDPT1!$AN$196</definedName>
    <definedName name="SCDPT1_101BEGINNG_4" localSheetId="0">GMIC_22A_SCDPT1!$F$196</definedName>
    <definedName name="SCDPT1_101BEGINNG_5" localSheetId="0">GMIC_22A_SCDPT1!$G$196</definedName>
    <definedName name="SCDPT1_101BEGINNG_6.01" localSheetId="0">GMIC_22A_SCDPT1!$H$196</definedName>
    <definedName name="SCDPT1_101BEGINNG_6.02" localSheetId="0">GMIC_22A_SCDPT1!$I$196</definedName>
    <definedName name="SCDPT1_101BEGINNG_6.03" localSheetId="0">GMIC_22A_SCDPT1!$J$196</definedName>
    <definedName name="SCDPT1_101BEGINNG_7" localSheetId="0">GMIC_22A_SCDPT1!$K$196</definedName>
    <definedName name="SCDPT1_101BEGINNG_8" localSheetId="0">GMIC_22A_SCDPT1!$L$196</definedName>
    <definedName name="SCDPT1_101BEGINNG_9" localSheetId="0">GMIC_22A_SCDPT1!$M$196</definedName>
    <definedName name="SCDPT1_101ENDINGG_10" localSheetId="0">GMIC_22A_SCDPT1!$N$793</definedName>
    <definedName name="SCDPT1_101ENDINGG_11" localSheetId="0">GMIC_22A_SCDPT1!$O$793</definedName>
    <definedName name="SCDPT1_101ENDINGG_12" localSheetId="0">GMIC_22A_SCDPT1!$P$793</definedName>
    <definedName name="SCDPT1_101ENDINGG_13" localSheetId="0">GMIC_22A_SCDPT1!$Q$793</definedName>
    <definedName name="SCDPT1_101ENDINGG_14" localSheetId="0">GMIC_22A_SCDPT1!$R$793</definedName>
    <definedName name="SCDPT1_101ENDINGG_15" localSheetId="0">GMIC_22A_SCDPT1!$S$793</definedName>
    <definedName name="SCDPT1_101ENDINGG_16" localSheetId="0">GMIC_22A_SCDPT1!$T$793</definedName>
    <definedName name="SCDPT1_101ENDINGG_17" localSheetId="0">GMIC_22A_SCDPT1!$U$793</definedName>
    <definedName name="SCDPT1_101ENDINGG_18" localSheetId="0">GMIC_22A_SCDPT1!$V$793</definedName>
    <definedName name="SCDPT1_101ENDINGG_19" localSheetId="0">GMIC_22A_SCDPT1!$W$793</definedName>
    <definedName name="SCDPT1_101ENDINGG_2" localSheetId="0">GMIC_22A_SCDPT1!$D$793</definedName>
    <definedName name="SCDPT1_101ENDINGG_20" localSheetId="0">GMIC_22A_SCDPT1!$X$793</definedName>
    <definedName name="SCDPT1_101ENDINGG_21" localSheetId="0">GMIC_22A_SCDPT1!$Y$793</definedName>
    <definedName name="SCDPT1_101ENDINGG_22" localSheetId="0">GMIC_22A_SCDPT1!$Z$793</definedName>
    <definedName name="SCDPT1_101ENDINGG_23" localSheetId="0">GMIC_22A_SCDPT1!$AA$793</definedName>
    <definedName name="SCDPT1_101ENDINGG_24" localSheetId="0">GMIC_22A_SCDPT1!$AB$793</definedName>
    <definedName name="SCDPT1_101ENDINGG_25" localSheetId="0">GMIC_22A_SCDPT1!$AC$793</definedName>
    <definedName name="SCDPT1_101ENDINGG_26" localSheetId="0">GMIC_22A_SCDPT1!$AD$793</definedName>
    <definedName name="SCDPT1_101ENDINGG_27" localSheetId="0">GMIC_22A_SCDPT1!$AE$793</definedName>
    <definedName name="SCDPT1_101ENDINGG_28" localSheetId="0">GMIC_22A_SCDPT1!$AF$793</definedName>
    <definedName name="SCDPT1_101ENDINGG_29" localSheetId="0">GMIC_22A_SCDPT1!$AG$793</definedName>
    <definedName name="SCDPT1_101ENDINGG_3" localSheetId="0">GMIC_22A_SCDPT1!$E$793</definedName>
    <definedName name="SCDPT1_101ENDINGG_30" localSheetId="0">GMIC_22A_SCDPT1!$AH$793</definedName>
    <definedName name="SCDPT1_101ENDINGG_31" localSheetId="0">GMIC_22A_SCDPT1!$AI$793</definedName>
    <definedName name="SCDPT1_101ENDINGG_32" localSheetId="0">GMIC_22A_SCDPT1!$AJ$793</definedName>
    <definedName name="SCDPT1_101ENDINGG_33" localSheetId="0">GMIC_22A_SCDPT1!$AK$793</definedName>
    <definedName name="SCDPT1_101ENDINGG_34" localSheetId="0">GMIC_22A_SCDPT1!$AL$793</definedName>
    <definedName name="SCDPT1_101ENDINGG_35" localSheetId="0">GMIC_22A_SCDPT1!$AM$793</definedName>
    <definedName name="SCDPT1_101ENDINGG_36" localSheetId="0">GMIC_22A_SCDPT1!$AN$793</definedName>
    <definedName name="SCDPT1_101ENDINGG_4" localSheetId="0">GMIC_22A_SCDPT1!$F$793</definedName>
    <definedName name="SCDPT1_101ENDINGG_5" localSheetId="0">GMIC_22A_SCDPT1!$G$793</definedName>
    <definedName name="SCDPT1_101ENDINGG_6.01" localSheetId="0">GMIC_22A_SCDPT1!$H$793</definedName>
    <definedName name="SCDPT1_101ENDINGG_6.02" localSheetId="0">GMIC_22A_SCDPT1!$I$793</definedName>
    <definedName name="SCDPT1_101ENDINGG_6.03" localSheetId="0">GMIC_22A_SCDPT1!$J$793</definedName>
    <definedName name="SCDPT1_101ENDINGG_7" localSheetId="0">GMIC_22A_SCDPT1!$K$793</definedName>
    <definedName name="SCDPT1_101ENDINGG_8" localSheetId="0">GMIC_22A_SCDPT1!$L$793</definedName>
    <definedName name="SCDPT1_101ENDINGG_9" localSheetId="0">GMIC_22A_SCDPT1!$M$793</definedName>
    <definedName name="SCDPT1_1020000000_Range" localSheetId="0">GMIC_22A_SCDPT1!$B$795:$AN$797</definedName>
    <definedName name="SCDPT1_1029999999_10" localSheetId="0">GMIC_22A_SCDPT1!$N$798</definedName>
    <definedName name="SCDPT1_1029999999_11" localSheetId="0">GMIC_22A_SCDPT1!$O$798</definedName>
    <definedName name="SCDPT1_1029999999_12" localSheetId="0">GMIC_22A_SCDPT1!$P$798</definedName>
    <definedName name="SCDPT1_1029999999_13" localSheetId="0">GMIC_22A_SCDPT1!$Q$798</definedName>
    <definedName name="SCDPT1_1029999999_14" localSheetId="0">GMIC_22A_SCDPT1!$R$798</definedName>
    <definedName name="SCDPT1_1029999999_15" localSheetId="0">GMIC_22A_SCDPT1!$S$798</definedName>
    <definedName name="SCDPT1_1029999999_19" localSheetId="0">GMIC_22A_SCDPT1!$W$798</definedName>
    <definedName name="SCDPT1_1029999999_20" localSheetId="0">GMIC_22A_SCDPT1!$X$798</definedName>
    <definedName name="SCDPT1_1029999999_7" localSheetId="0">GMIC_22A_SCDPT1!$K$798</definedName>
    <definedName name="SCDPT1_1029999999_9" localSheetId="0">GMIC_22A_SCDPT1!$M$798</definedName>
    <definedName name="SCDPT1_102BEGINNG_1" localSheetId="0">GMIC_22A_SCDPT1!$C$795</definedName>
    <definedName name="SCDPT1_102BEGINNG_10" localSheetId="0">GMIC_22A_SCDPT1!$N$795</definedName>
    <definedName name="SCDPT1_102BEGINNG_11" localSheetId="0">GMIC_22A_SCDPT1!$O$795</definedName>
    <definedName name="SCDPT1_102BEGINNG_12" localSheetId="0">GMIC_22A_SCDPT1!$P$795</definedName>
    <definedName name="SCDPT1_102BEGINNG_13" localSheetId="0">GMIC_22A_SCDPT1!$Q$795</definedName>
    <definedName name="SCDPT1_102BEGINNG_14" localSheetId="0">GMIC_22A_SCDPT1!$R$795</definedName>
    <definedName name="SCDPT1_102BEGINNG_15" localSheetId="0">GMIC_22A_SCDPT1!$S$795</definedName>
    <definedName name="SCDPT1_102BEGINNG_16" localSheetId="0">GMIC_22A_SCDPT1!$T$795</definedName>
    <definedName name="SCDPT1_102BEGINNG_17" localSheetId="0">GMIC_22A_SCDPT1!$U$795</definedName>
    <definedName name="SCDPT1_102BEGINNG_18" localSheetId="0">GMIC_22A_SCDPT1!$V$795</definedName>
    <definedName name="SCDPT1_102BEGINNG_19" localSheetId="0">GMIC_22A_SCDPT1!$W$795</definedName>
    <definedName name="SCDPT1_102BEGINNG_2" localSheetId="0">GMIC_22A_SCDPT1!$D$795</definedName>
    <definedName name="SCDPT1_102BEGINNG_20" localSheetId="0">GMIC_22A_SCDPT1!$X$795</definedName>
    <definedName name="SCDPT1_102BEGINNG_21" localSheetId="0">GMIC_22A_SCDPT1!$Y$795</definedName>
    <definedName name="SCDPT1_102BEGINNG_22" localSheetId="0">GMIC_22A_SCDPT1!$Z$795</definedName>
    <definedName name="SCDPT1_102BEGINNG_23" localSheetId="0">GMIC_22A_SCDPT1!$AA$795</definedName>
    <definedName name="SCDPT1_102BEGINNG_24" localSheetId="0">GMIC_22A_SCDPT1!$AB$795</definedName>
    <definedName name="SCDPT1_102BEGINNG_25" localSheetId="0">GMIC_22A_SCDPT1!$AC$795</definedName>
    <definedName name="SCDPT1_102BEGINNG_26" localSheetId="0">GMIC_22A_SCDPT1!$AD$795</definedName>
    <definedName name="SCDPT1_102BEGINNG_27" localSheetId="0">GMIC_22A_SCDPT1!$AE$795</definedName>
    <definedName name="SCDPT1_102BEGINNG_28" localSheetId="0">GMIC_22A_SCDPT1!$AF$795</definedName>
    <definedName name="SCDPT1_102BEGINNG_29" localSheetId="0">GMIC_22A_SCDPT1!$AG$795</definedName>
    <definedName name="SCDPT1_102BEGINNG_3" localSheetId="0">GMIC_22A_SCDPT1!$E$795</definedName>
    <definedName name="SCDPT1_102BEGINNG_30" localSheetId="0">GMIC_22A_SCDPT1!$AH$795</definedName>
    <definedName name="SCDPT1_102BEGINNG_31" localSheetId="0">GMIC_22A_SCDPT1!$AI$795</definedName>
    <definedName name="SCDPT1_102BEGINNG_32" localSheetId="0">GMIC_22A_SCDPT1!$AJ$795</definedName>
    <definedName name="SCDPT1_102BEGINNG_33" localSheetId="0">GMIC_22A_SCDPT1!$AK$795</definedName>
    <definedName name="SCDPT1_102BEGINNG_34" localSheetId="0">GMIC_22A_SCDPT1!$AL$795</definedName>
    <definedName name="SCDPT1_102BEGINNG_35" localSheetId="0">GMIC_22A_SCDPT1!$AM$795</definedName>
    <definedName name="SCDPT1_102BEGINNG_36" localSheetId="0">GMIC_22A_SCDPT1!$AN$795</definedName>
    <definedName name="SCDPT1_102BEGINNG_4" localSheetId="0">GMIC_22A_SCDPT1!$F$795</definedName>
    <definedName name="SCDPT1_102BEGINNG_5" localSheetId="0">GMIC_22A_SCDPT1!$G$795</definedName>
    <definedName name="SCDPT1_102BEGINNG_6.01" localSheetId="0">GMIC_22A_SCDPT1!$H$795</definedName>
    <definedName name="SCDPT1_102BEGINNG_6.02" localSheetId="0">GMIC_22A_SCDPT1!$I$795</definedName>
    <definedName name="SCDPT1_102BEGINNG_6.03" localSheetId="0">GMIC_22A_SCDPT1!$J$795</definedName>
    <definedName name="SCDPT1_102BEGINNG_7" localSheetId="0">GMIC_22A_SCDPT1!$K$795</definedName>
    <definedName name="SCDPT1_102BEGINNG_8" localSheetId="0">GMIC_22A_SCDPT1!$L$795</definedName>
    <definedName name="SCDPT1_102BEGINNG_9" localSheetId="0">GMIC_22A_SCDPT1!$M$795</definedName>
    <definedName name="SCDPT1_102ENDINGG_10" localSheetId="0">GMIC_22A_SCDPT1!$N$797</definedName>
    <definedName name="SCDPT1_102ENDINGG_11" localSheetId="0">GMIC_22A_SCDPT1!$O$797</definedName>
    <definedName name="SCDPT1_102ENDINGG_12" localSheetId="0">GMIC_22A_SCDPT1!$P$797</definedName>
    <definedName name="SCDPT1_102ENDINGG_13" localSheetId="0">GMIC_22A_SCDPT1!$Q$797</definedName>
    <definedName name="SCDPT1_102ENDINGG_14" localSheetId="0">GMIC_22A_SCDPT1!$R$797</definedName>
    <definedName name="SCDPT1_102ENDINGG_15" localSheetId="0">GMIC_22A_SCDPT1!$S$797</definedName>
    <definedName name="SCDPT1_102ENDINGG_16" localSheetId="0">GMIC_22A_SCDPT1!$T$797</definedName>
    <definedName name="SCDPT1_102ENDINGG_17" localSheetId="0">GMIC_22A_SCDPT1!$U$797</definedName>
    <definedName name="SCDPT1_102ENDINGG_18" localSheetId="0">GMIC_22A_SCDPT1!$V$797</definedName>
    <definedName name="SCDPT1_102ENDINGG_19" localSheetId="0">GMIC_22A_SCDPT1!$W$797</definedName>
    <definedName name="SCDPT1_102ENDINGG_2" localSheetId="0">GMIC_22A_SCDPT1!$D$797</definedName>
    <definedName name="SCDPT1_102ENDINGG_20" localSheetId="0">GMIC_22A_SCDPT1!$X$797</definedName>
    <definedName name="SCDPT1_102ENDINGG_21" localSheetId="0">GMIC_22A_SCDPT1!$Y$797</definedName>
    <definedName name="SCDPT1_102ENDINGG_22" localSheetId="0">GMIC_22A_SCDPT1!$Z$797</definedName>
    <definedName name="SCDPT1_102ENDINGG_23" localSheetId="0">GMIC_22A_SCDPT1!$AA$797</definedName>
    <definedName name="SCDPT1_102ENDINGG_24" localSheetId="0">GMIC_22A_SCDPT1!$AB$797</definedName>
    <definedName name="SCDPT1_102ENDINGG_25" localSheetId="0">GMIC_22A_SCDPT1!$AC$797</definedName>
    <definedName name="SCDPT1_102ENDINGG_26" localSheetId="0">GMIC_22A_SCDPT1!$AD$797</definedName>
    <definedName name="SCDPT1_102ENDINGG_27" localSheetId="0">GMIC_22A_SCDPT1!$AE$797</definedName>
    <definedName name="SCDPT1_102ENDINGG_28" localSheetId="0">GMIC_22A_SCDPT1!$AF$797</definedName>
    <definedName name="SCDPT1_102ENDINGG_29" localSheetId="0">GMIC_22A_SCDPT1!$AG$797</definedName>
    <definedName name="SCDPT1_102ENDINGG_3" localSheetId="0">GMIC_22A_SCDPT1!$E$797</definedName>
    <definedName name="SCDPT1_102ENDINGG_30" localSheetId="0">GMIC_22A_SCDPT1!$AH$797</definedName>
    <definedName name="SCDPT1_102ENDINGG_31" localSheetId="0">GMIC_22A_SCDPT1!$AI$797</definedName>
    <definedName name="SCDPT1_102ENDINGG_32" localSheetId="0">GMIC_22A_SCDPT1!$AJ$797</definedName>
    <definedName name="SCDPT1_102ENDINGG_33" localSheetId="0">GMIC_22A_SCDPT1!$AK$797</definedName>
    <definedName name="SCDPT1_102ENDINGG_34" localSheetId="0">GMIC_22A_SCDPT1!$AL$797</definedName>
    <definedName name="SCDPT1_102ENDINGG_35" localSheetId="0">GMIC_22A_SCDPT1!$AM$797</definedName>
    <definedName name="SCDPT1_102ENDINGG_36" localSheetId="0">GMIC_22A_SCDPT1!$AN$797</definedName>
    <definedName name="SCDPT1_102ENDINGG_4" localSheetId="0">GMIC_22A_SCDPT1!$F$797</definedName>
    <definedName name="SCDPT1_102ENDINGG_5" localSheetId="0">GMIC_22A_SCDPT1!$G$797</definedName>
    <definedName name="SCDPT1_102ENDINGG_6.01" localSheetId="0">GMIC_22A_SCDPT1!$H$797</definedName>
    <definedName name="SCDPT1_102ENDINGG_6.02" localSheetId="0">GMIC_22A_SCDPT1!$I$797</definedName>
    <definedName name="SCDPT1_102ENDINGG_6.03" localSheetId="0">GMIC_22A_SCDPT1!$J$797</definedName>
    <definedName name="SCDPT1_102ENDINGG_7" localSheetId="0">GMIC_22A_SCDPT1!$K$797</definedName>
    <definedName name="SCDPT1_102ENDINGG_8" localSheetId="0">GMIC_22A_SCDPT1!$L$797</definedName>
    <definedName name="SCDPT1_102ENDINGG_9" localSheetId="0">GMIC_22A_SCDPT1!$M$797</definedName>
    <definedName name="SCDPT1_1030000000_Range" localSheetId="0">GMIC_22A_SCDPT1!$B$799:$AN$801</definedName>
    <definedName name="SCDPT1_1039999999_10" localSheetId="0">GMIC_22A_SCDPT1!$N$802</definedName>
    <definedName name="SCDPT1_1039999999_11" localSheetId="0">GMIC_22A_SCDPT1!$O$802</definedName>
    <definedName name="SCDPT1_1039999999_12" localSheetId="0">GMIC_22A_SCDPT1!$P$802</definedName>
    <definedName name="SCDPT1_1039999999_13" localSheetId="0">GMIC_22A_SCDPT1!$Q$802</definedName>
    <definedName name="SCDPT1_1039999999_14" localSheetId="0">GMIC_22A_SCDPT1!$R$802</definedName>
    <definedName name="SCDPT1_1039999999_15" localSheetId="0">GMIC_22A_SCDPT1!$S$802</definedName>
    <definedName name="SCDPT1_1039999999_19" localSheetId="0">GMIC_22A_SCDPT1!$W$802</definedName>
    <definedName name="SCDPT1_1039999999_20" localSheetId="0">GMIC_22A_SCDPT1!$X$802</definedName>
    <definedName name="SCDPT1_1039999999_7" localSheetId="0">GMIC_22A_SCDPT1!$K$802</definedName>
    <definedName name="SCDPT1_1039999999_9" localSheetId="0">GMIC_22A_SCDPT1!$M$802</definedName>
    <definedName name="SCDPT1_103BEGINNG_1" localSheetId="0">GMIC_22A_SCDPT1!$C$799</definedName>
    <definedName name="SCDPT1_103BEGINNG_10" localSheetId="0">GMIC_22A_SCDPT1!$N$799</definedName>
    <definedName name="SCDPT1_103BEGINNG_11" localSheetId="0">GMIC_22A_SCDPT1!$O$799</definedName>
    <definedName name="SCDPT1_103BEGINNG_12" localSheetId="0">GMIC_22A_SCDPT1!$P$799</definedName>
    <definedName name="SCDPT1_103BEGINNG_13" localSheetId="0">GMIC_22A_SCDPT1!$Q$799</definedName>
    <definedName name="SCDPT1_103BEGINNG_14" localSheetId="0">GMIC_22A_SCDPT1!$R$799</definedName>
    <definedName name="SCDPT1_103BEGINNG_15" localSheetId="0">GMIC_22A_SCDPT1!$S$799</definedName>
    <definedName name="SCDPT1_103BEGINNG_16" localSheetId="0">GMIC_22A_SCDPT1!$T$799</definedName>
    <definedName name="SCDPT1_103BEGINNG_17" localSheetId="0">GMIC_22A_SCDPT1!$U$799</definedName>
    <definedName name="SCDPT1_103BEGINNG_18" localSheetId="0">GMIC_22A_SCDPT1!$V$799</definedName>
    <definedName name="SCDPT1_103BEGINNG_19" localSheetId="0">GMIC_22A_SCDPT1!$W$799</definedName>
    <definedName name="SCDPT1_103BEGINNG_2" localSheetId="0">GMIC_22A_SCDPT1!$D$799</definedName>
    <definedName name="SCDPT1_103BEGINNG_20" localSheetId="0">GMIC_22A_SCDPT1!$X$799</definedName>
    <definedName name="SCDPT1_103BEGINNG_21" localSheetId="0">GMIC_22A_SCDPT1!$Y$799</definedName>
    <definedName name="SCDPT1_103BEGINNG_22" localSheetId="0">GMIC_22A_SCDPT1!$Z$799</definedName>
    <definedName name="SCDPT1_103BEGINNG_23" localSheetId="0">GMIC_22A_SCDPT1!$AA$799</definedName>
    <definedName name="SCDPT1_103BEGINNG_24" localSheetId="0">GMIC_22A_SCDPT1!$AB$799</definedName>
    <definedName name="SCDPT1_103BEGINNG_25" localSheetId="0">GMIC_22A_SCDPT1!$AC$799</definedName>
    <definedName name="SCDPT1_103BEGINNG_26" localSheetId="0">GMIC_22A_SCDPT1!$AD$799</definedName>
    <definedName name="SCDPT1_103BEGINNG_27" localSheetId="0">GMIC_22A_SCDPT1!$AE$799</definedName>
    <definedName name="SCDPT1_103BEGINNG_28" localSheetId="0">GMIC_22A_SCDPT1!$AF$799</definedName>
    <definedName name="SCDPT1_103BEGINNG_29" localSheetId="0">GMIC_22A_SCDPT1!$AG$799</definedName>
    <definedName name="SCDPT1_103BEGINNG_3" localSheetId="0">GMIC_22A_SCDPT1!$E$799</definedName>
    <definedName name="SCDPT1_103BEGINNG_30" localSheetId="0">GMIC_22A_SCDPT1!$AH$799</definedName>
    <definedName name="SCDPT1_103BEGINNG_31" localSheetId="0">GMIC_22A_SCDPT1!$AI$799</definedName>
    <definedName name="SCDPT1_103BEGINNG_32" localSheetId="0">GMIC_22A_SCDPT1!$AJ$799</definedName>
    <definedName name="SCDPT1_103BEGINNG_33" localSheetId="0">GMIC_22A_SCDPT1!$AK$799</definedName>
    <definedName name="SCDPT1_103BEGINNG_34" localSheetId="0">GMIC_22A_SCDPT1!$AL$799</definedName>
    <definedName name="SCDPT1_103BEGINNG_35" localSheetId="0">GMIC_22A_SCDPT1!$AM$799</definedName>
    <definedName name="SCDPT1_103BEGINNG_36" localSheetId="0">GMIC_22A_SCDPT1!$AN$799</definedName>
    <definedName name="SCDPT1_103BEGINNG_4" localSheetId="0">GMIC_22A_SCDPT1!$F$799</definedName>
    <definedName name="SCDPT1_103BEGINNG_5" localSheetId="0">GMIC_22A_SCDPT1!$G$799</definedName>
    <definedName name="SCDPT1_103BEGINNG_6.01" localSheetId="0">GMIC_22A_SCDPT1!$H$799</definedName>
    <definedName name="SCDPT1_103BEGINNG_6.02" localSheetId="0">GMIC_22A_SCDPT1!$I$799</definedName>
    <definedName name="SCDPT1_103BEGINNG_6.03" localSheetId="0">GMIC_22A_SCDPT1!$J$799</definedName>
    <definedName name="SCDPT1_103BEGINNG_7" localSheetId="0">GMIC_22A_SCDPT1!$K$799</definedName>
    <definedName name="SCDPT1_103BEGINNG_8" localSheetId="0">GMIC_22A_SCDPT1!$L$799</definedName>
    <definedName name="SCDPT1_103BEGINNG_9" localSheetId="0">GMIC_22A_SCDPT1!$M$799</definedName>
    <definedName name="SCDPT1_103ENDINGG_10" localSheetId="0">GMIC_22A_SCDPT1!$N$801</definedName>
    <definedName name="SCDPT1_103ENDINGG_11" localSheetId="0">GMIC_22A_SCDPT1!$O$801</definedName>
    <definedName name="SCDPT1_103ENDINGG_12" localSheetId="0">GMIC_22A_SCDPT1!$P$801</definedName>
    <definedName name="SCDPT1_103ENDINGG_13" localSheetId="0">GMIC_22A_SCDPT1!$Q$801</definedName>
    <definedName name="SCDPT1_103ENDINGG_14" localSheetId="0">GMIC_22A_SCDPT1!$R$801</definedName>
    <definedName name="SCDPT1_103ENDINGG_15" localSheetId="0">GMIC_22A_SCDPT1!$S$801</definedName>
    <definedName name="SCDPT1_103ENDINGG_16" localSheetId="0">GMIC_22A_SCDPT1!$T$801</definedName>
    <definedName name="SCDPT1_103ENDINGG_17" localSheetId="0">GMIC_22A_SCDPT1!$U$801</definedName>
    <definedName name="SCDPT1_103ENDINGG_18" localSheetId="0">GMIC_22A_SCDPT1!$V$801</definedName>
    <definedName name="SCDPT1_103ENDINGG_19" localSheetId="0">GMIC_22A_SCDPT1!$W$801</definedName>
    <definedName name="SCDPT1_103ENDINGG_2" localSheetId="0">GMIC_22A_SCDPT1!$D$801</definedName>
    <definedName name="SCDPT1_103ENDINGG_20" localSheetId="0">GMIC_22A_SCDPT1!$X$801</definedName>
    <definedName name="SCDPT1_103ENDINGG_21" localSheetId="0">GMIC_22A_SCDPT1!$Y$801</definedName>
    <definedName name="SCDPT1_103ENDINGG_22" localSheetId="0">GMIC_22A_SCDPT1!$Z$801</definedName>
    <definedName name="SCDPT1_103ENDINGG_23" localSheetId="0">GMIC_22A_SCDPT1!$AA$801</definedName>
    <definedName name="SCDPT1_103ENDINGG_24" localSheetId="0">GMIC_22A_SCDPT1!$AB$801</definedName>
    <definedName name="SCDPT1_103ENDINGG_25" localSheetId="0">GMIC_22A_SCDPT1!$AC$801</definedName>
    <definedName name="SCDPT1_103ENDINGG_26" localSheetId="0">GMIC_22A_SCDPT1!$AD$801</definedName>
    <definedName name="SCDPT1_103ENDINGG_27" localSheetId="0">GMIC_22A_SCDPT1!$AE$801</definedName>
    <definedName name="SCDPT1_103ENDINGG_28" localSheetId="0">GMIC_22A_SCDPT1!$AF$801</definedName>
    <definedName name="SCDPT1_103ENDINGG_29" localSheetId="0">GMIC_22A_SCDPT1!$AG$801</definedName>
    <definedName name="SCDPT1_103ENDINGG_3" localSheetId="0">GMIC_22A_SCDPT1!$E$801</definedName>
    <definedName name="SCDPT1_103ENDINGG_30" localSheetId="0">GMIC_22A_SCDPT1!$AH$801</definedName>
    <definedName name="SCDPT1_103ENDINGG_31" localSheetId="0">GMIC_22A_SCDPT1!$AI$801</definedName>
    <definedName name="SCDPT1_103ENDINGG_32" localSheetId="0">GMIC_22A_SCDPT1!$AJ$801</definedName>
    <definedName name="SCDPT1_103ENDINGG_33" localSheetId="0">GMIC_22A_SCDPT1!$AK$801</definedName>
    <definedName name="SCDPT1_103ENDINGG_34" localSheetId="0">GMIC_22A_SCDPT1!$AL$801</definedName>
    <definedName name="SCDPT1_103ENDINGG_35" localSheetId="0">GMIC_22A_SCDPT1!$AM$801</definedName>
    <definedName name="SCDPT1_103ENDINGG_36" localSheetId="0">GMIC_22A_SCDPT1!$AN$801</definedName>
    <definedName name="SCDPT1_103ENDINGG_4" localSheetId="0">GMIC_22A_SCDPT1!$F$801</definedName>
    <definedName name="SCDPT1_103ENDINGG_5" localSheetId="0">GMIC_22A_SCDPT1!$G$801</definedName>
    <definedName name="SCDPT1_103ENDINGG_6.01" localSheetId="0">GMIC_22A_SCDPT1!$H$801</definedName>
    <definedName name="SCDPT1_103ENDINGG_6.02" localSheetId="0">GMIC_22A_SCDPT1!$I$801</definedName>
    <definedName name="SCDPT1_103ENDINGG_6.03" localSheetId="0">GMIC_22A_SCDPT1!$J$801</definedName>
    <definedName name="SCDPT1_103ENDINGG_7" localSheetId="0">GMIC_22A_SCDPT1!$K$801</definedName>
    <definedName name="SCDPT1_103ENDINGG_8" localSheetId="0">GMIC_22A_SCDPT1!$L$801</definedName>
    <definedName name="SCDPT1_103ENDINGG_9" localSheetId="0">GMIC_22A_SCDPT1!$M$801</definedName>
    <definedName name="SCDPT1_1040000000_Range" localSheetId="0">GMIC_22A_SCDPT1!$B$803:$AN$1028</definedName>
    <definedName name="SCDPT1_1040000001_1" localSheetId="0">GMIC_22A_SCDPT1!$C$804</definedName>
    <definedName name="SCDPT1_1040000001_10" localSheetId="0">GMIC_22A_SCDPT1!$N$804</definedName>
    <definedName name="SCDPT1_1040000001_11" localSheetId="0">GMIC_22A_SCDPT1!$O$804</definedName>
    <definedName name="SCDPT1_1040000001_12" localSheetId="0">GMIC_22A_SCDPT1!$P$804</definedName>
    <definedName name="SCDPT1_1040000001_13" localSheetId="0">GMIC_22A_SCDPT1!$Q$804</definedName>
    <definedName name="SCDPT1_1040000001_14" localSheetId="0">GMIC_22A_SCDPT1!$R$804</definedName>
    <definedName name="SCDPT1_1040000001_15" localSheetId="0">GMIC_22A_SCDPT1!$S$804</definedName>
    <definedName name="SCDPT1_1040000001_16" localSheetId="0">GMIC_22A_SCDPT1!$T$804</definedName>
    <definedName name="SCDPT1_1040000001_17" localSheetId="0">GMIC_22A_SCDPT1!$U$804</definedName>
    <definedName name="SCDPT1_1040000001_18" localSheetId="0">GMIC_22A_SCDPT1!$V$804</definedName>
    <definedName name="SCDPT1_1040000001_19" localSheetId="0">GMIC_22A_SCDPT1!$W$804</definedName>
    <definedName name="SCDPT1_1040000001_2" localSheetId="0">GMIC_22A_SCDPT1!$D$804</definedName>
    <definedName name="SCDPT1_1040000001_20" localSheetId="0">GMIC_22A_SCDPT1!$X$804</definedName>
    <definedName name="SCDPT1_1040000001_21" localSheetId="0">GMIC_22A_SCDPT1!$Y$804</definedName>
    <definedName name="SCDPT1_1040000001_22" localSheetId="0">GMIC_22A_SCDPT1!$Z$804</definedName>
    <definedName name="SCDPT1_1040000001_24" localSheetId="0">GMIC_22A_SCDPT1!$AB$804</definedName>
    <definedName name="SCDPT1_1040000001_25" localSheetId="0">GMIC_22A_SCDPT1!$AC$804</definedName>
    <definedName name="SCDPT1_1040000001_26" localSheetId="0">GMIC_22A_SCDPT1!$AD$804</definedName>
    <definedName name="SCDPT1_1040000001_27" localSheetId="0">GMIC_22A_SCDPT1!$AE$804</definedName>
    <definedName name="SCDPT1_1040000001_28" localSheetId="0">GMIC_22A_SCDPT1!$AF$804</definedName>
    <definedName name="SCDPT1_1040000001_29" localSheetId="0">GMIC_22A_SCDPT1!$AG$804</definedName>
    <definedName name="SCDPT1_1040000001_3" localSheetId="0">GMIC_22A_SCDPT1!$E$804</definedName>
    <definedName name="SCDPT1_1040000001_30" localSheetId="0">GMIC_22A_SCDPT1!$AH$804</definedName>
    <definedName name="SCDPT1_1040000001_31" localSheetId="0">GMIC_22A_SCDPT1!$AI$804</definedName>
    <definedName name="SCDPT1_1040000001_32" localSheetId="0">GMIC_22A_SCDPT1!$AJ$804</definedName>
    <definedName name="SCDPT1_1040000001_33" localSheetId="0">GMIC_22A_SCDPT1!$AK$804</definedName>
    <definedName name="SCDPT1_1040000001_34" localSheetId="0">GMIC_22A_SCDPT1!$AL$804</definedName>
    <definedName name="SCDPT1_1040000001_35" localSheetId="0">GMIC_22A_SCDPT1!$AM$804</definedName>
    <definedName name="SCDPT1_1040000001_36" localSheetId="0">GMIC_22A_SCDPT1!$AN$804</definedName>
    <definedName name="SCDPT1_1040000001_4" localSheetId="0">GMIC_22A_SCDPT1!$F$804</definedName>
    <definedName name="SCDPT1_1040000001_5" localSheetId="0">GMIC_22A_SCDPT1!$G$804</definedName>
    <definedName name="SCDPT1_1040000001_6.01" localSheetId="0">GMIC_22A_SCDPT1!$H$804</definedName>
    <definedName name="SCDPT1_1040000001_6.02" localSheetId="0">GMIC_22A_SCDPT1!$I$804</definedName>
    <definedName name="SCDPT1_1040000001_6.03" localSheetId="0">GMIC_22A_SCDPT1!$J$804</definedName>
    <definedName name="SCDPT1_1040000001_7" localSheetId="0">GMIC_22A_SCDPT1!$K$804</definedName>
    <definedName name="SCDPT1_1040000001_8" localSheetId="0">GMIC_22A_SCDPT1!$L$804</definedName>
    <definedName name="SCDPT1_1040000001_9" localSheetId="0">GMIC_22A_SCDPT1!$M$804</definedName>
    <definedName name="SCDPT1_1049999999_10" localSheetId="0">GMIC_22A_SCDPT1!$N$1029</definedName>
    <definedName name="SCDPT1_1049999999_11" localSheetId="0">GMIC_22A_SCDPT1!$O$1029</definedName>
    <definedName name="SCDPT1_1049999999_12" localSheetId="0">GMIC_22A_SCDPT1!$P$1029</definedName>
    <definedName name="SCDPT1_1049999999_13" localSheetId="0">GMIC_22A_SCDPT1!$Q$1029</definedName>
    <definedName name="SCDPT1_1049999999_14" localSheetId="0">GMIC_22A_SCDPT1!$R$1029</definedName>
    <definedName name="SCDPT1_1049999999_15" localSheetId="0">GMIC_22A_SCDPT1!$S$1029</definedName>
    <definedName name="SCDPT1_1049999999_19" localSheetId="0">GMIC_22A_SCDPT1!$W$1029</definedName>
    <definedName name="SCDPT1_1049999999_20" localSheetId="0">GMIC_22A_SCDPT1!$X$1029</definedName>
    <definedName name="SCDPT1_1049999999_7" localSheetId="0">GMIC_22A_SCDPT1!$K$1029</definedName>
    <definedName name="SCDPT1_1049999999_9" localSheetId="0">GMIC_22A_SCDPT1!$M$1029</definedName>
    <definedName name="SCDPT1_104BEGINNG_1" localSheetId="0">GMIC_22A_SCDPT1!$C$803</definedName>
    <definedName name="SCDPT1_104BEGINNG_10" localSheetId="0">GMIC_22A_SCDPT1!$N$803</definedName>
    <definedName name="SCDPT1_104BEGINNG_11" localSheetId="0">GMIC_22A_SCDPT1!$O$803</definedName>
    <definedName name="SCDPT1_104BEGINNG_12" localSheetId="0">GMIC_22A_SCDPT1!$P$803</definedName>
    <definedName name="SCDPT1_104BEGINNG_13" localSheetId="0">GMIC_22A_SCDPT1!$Q$803</definedName>
    <definedName name="SCDPT1_104BEGINNG_14" localSheetId="0">GMIC_22A_SCDPT1!$R$803</definedName>
    <definedName name="SCDPT1_104BEGINNG_15" localSheetId="0">GMIC_22A_SCDPT1!$S$803</definedName>
    <definedName name="SCDPT1_104BEGINNG_16" localSheetId="0">GMIC_22A_SCDPT1!$T$803</definedName>
    <definedName name="SCDPT1_104BEGINNG_17" localSheetId="0">GMIC_22A_SCDPT1!$U$803</definedName>
    <definedName name="SCDPT1_104BEGINNG_18" localSheetId="0">GMIC_22A_SCDPT1!$V$803</definedName>
    <definedName name="SCDPT1_104BEGINNG_19" localSheetId="0">GMIC_22A_SCDPT1!$W$803</definedName>
    <definedName name="SCDPT1_104BEGINNG_2" localSheetId="0">GMIC_22A_SCDPT1!$D$803</definedName>
    <definedName name="SCDPT1_104BEGINNG_20" localSheetId="0">GMIC_22A_SCDPT1!$X$803</definedName>
    <definedName name="SCDPT1_104BEGINNG_21" localSheetId="0">GMIC_22A_SCDPT1!$Y$803</definedName>
    <definedName name="SCDPT1_104BEGINNG_22" localSheetId="0">GMIC_22A_SCDPT1!$Z$803</definedName>
    <definedName name="SCDPT1_104BEGINNG_23" localSheetId="0">GMIC_22A_SCDPT1!$AA$803</definedName>
    <definedName name="SCDPT1_104BEGINNG_24" localSheetId="0">GMIC_22A_SCDPT1!$AB$803</definedName>
    <definedName name="SCDPT1_104BEGINNG_25" localSheetId="0">GMIC_22A_SCDPT1!$AC$803</definedName>
    <definedName name="SCDPT1_104BEGINNG_26" localSheetId="0">GMIC_22A_SCDPT1!$AD$803</definedName>
    <definedName name="SCDPT1_104BEGINNG_27" localSheetId="0">GMIC_22A_SCDPT1!$AE$803</definedName>
    <definedName name="SCDPT1_104BEGINNG_28" localSheetId="0">GMIC_22A_SCDPT1!$AF$803</definedName>
    <definedName name="SCDPT1_104BEGINNG_29" localSheetId="0">GMIC_22A_SCDPT1!$AG$803</definedName>
    <definedName name="SCDPT1_104BEGINNG_3" localSheetId="0">GMIC_22A_SCDPT1!$E$803</definedName>
    <definedName name="SCDPT1_104BEGINNG_30" localSheetId="0">GMIC_22A_SCDPT1!$AH$803</definedName>
    <definedName name="SCDPT1_104BEGINNG_31" localSheetId="0">GMIC_22A_SCDPT1!$AI$803</definedName>
    <definedName name="SCDPT1_104BEGINNG_32" localSheetId="0">GMIC_22A_SCDPT1!$AJ$803</definedName>
    <definedName name="SCDPT1_104BEGINNG_33" localSheetId="0">GMIC_22A_SCDPT1!$AK$803</definedName>
    <definedName name="SCDPT1_104BEGINNG_34" localSheetId="0">GMIC_22A_SCDPT1!$AL$803</definedName>
    <definedName name="SCDPT1_104BEGINNG_35" localSheetId="0">GMIC_22A_SCDPT1!$AM$803</definedName>
    <definedName name="SCDPT1_104BEGINNG_36" localSheetId="0">GMIC_22A_SCDPT1!$AN$803</definedName>
    <definedName name="SCDPT1_104BEGINNG_4" localSheetId="0">GMIC_22A_SCDPT1!$F$803</definedName>
    <definedName name="SCDPT1_104BEGINNG_5" localSheetId="0">GMIC_22A_SCDPT1!$G$803</definedName>
    <definedName name="SCDPT1_104BEGINNG_6.01" localSheetId="0">GMIC_22A_SCDPT1!$H$803</definedName>
    <definedName name="SCDPT1_104BEGINNG_6.02" localSheetId="0">GMIC_22A_SCDPT1!$I$803</definedName>
    <definedName name="SCDPT1_104BEGINNG_6.03" localSheetId="0">GMIC_22A_SCDPT1!$J$803</definedName>
    <definedName name="SCDPT1_104BEGINNG_7" localSheetId="0">GMIC_22A_SCDPT1!$K$803</definedName>
    <definedName name="SCDPT1_104BEGINNG_8" localSheetId="0">GMIC_22A_SCDPT1!$L$803</definedName>
    <definedName name="SCDPT1_104BEGINNG_9" localSheetId="0">GMIC_22A_SCDPT1!$M$803</definedName>
    <definedName name="SCDPT1_104ENDINGG_10" localSheetId="0">GMIC_22A_SCDPT1!$N$1028</definedName>
    <definedName name="SCDPT1_104ENDINGG_11" localSheetId="0">GMIC_22A_SCDPT1!$O$1028</definedName>
    <definedName name="SCDPT1_104ENDINGG_12" localSheetId="0">GMIC_22A_SCDPT1!$P$1028</definedName>
    <definedName name="SCDPT1_104ENDINGG_13" localSheetId="0">GMIC_22A_SCDPT1!$Q$1028</definedName>
    <definedName name="SCDPT1_104ENDINGG_14" localSheetId="0">GMIC_22A_SCDPT1!$R$1028</definedName>
    <definedName name="SCDPT1_104ENDINGG_15" localSheetId="0">GMIC_22A_SCDPT1!$S$1028</definedName>
    <definedName name="SCDPT1_104ENDINGG_16" localSheetId="0">GMIC_22A_SCDPT1!$T$1028</definedName>
    <definedName name="SCDPT1_104ENDINGG_17" localSheetId="0">GMIC_22A_SCDPT1!$U$1028</definedName>
    <definedName name="SCDPT1_104ENDINGG_18" localSheetId="0">GMIC_22A_SCDPT1!$V$1028</definedName>
    <definedName name="SCDPT1_104ENDINGG_19" localSheetId="0">GMIC_22A_SCDPT1!$W$1028</definedName>
    <definedName name="SCDPT1_104ENDINGG_2" localSheetId="0">GMIC_22A_SCDPT1!$D$1028</definedName>
    <definedName name="SCDPT1_104ENDINGG_20" localSheetId="0">GMIC_22A_SCDPT1!$X$1028</definedName>
    <definedName name="SCDPT1_104ENDINGG_21" localSheetId="0">GMIC_22A_SCDPT1!$Y$1028</definedName>
    <definedName name="SCDPT1_104ENDINGG_22" localSheetId="0">GMIC_22A_SCDPT1!$Z$1028</definedName>
    <definedName name="SCDPT1_104ENDINGG_23" localSheetId="0">GMIC_22A_SCDPT1!$AA$1028</definedName>
    <definedName name="SCDPT1_104ENDINGG_24" localSheetId="0">GMIC_22A_SCDPT1!$AB$1028</definedName>
    <definedName name="SCDPT1_104ENDINGG_25" localSheetId="0">GMIC_22A_SCDPT1!$AC$1028</definedName>
    <definedName name="SCDPT1_104ENDINGG_26" localSheetId="0">GMIC_22A_SCDPT1!$AD$1028</definedName>
    <definedName name="SCDPT1_104ENDINGG_27" localSheetId="0">GMIC_22A_SCDPT1!$AE$1028</definedName>
    <definedName name="SCDPT1_104ENDINGG_28" localSheetId="0">GMIC_22A_SCDPT1!$AF$1028</definedName>
    <definedName name="SCDPT1_104ENDINGG_29" localSheetId="0">GMIC_22A_SCDPT1!$AG$1028</definedName>
    <definedName name="SCDPT1_104ENDINGG_3" localSheetId="0">GMIC_22A_SCDPT1!$E$1028</definedName>
    <definedName name="SCDPT1_104ENDINGG_30" localSheetId="0">GMIC_22A_SCDPT1!$AH$1028</definedName>
    <definedName name="SCDPT1_104ENDINGG_31" localSheetId="0">GMIC_22A_SCDPT1!$AI$1028</definedName>
    <definedName name="SCDPT1_104ENDINGG_32" localSheetId="0">GMIC_22A_SCDPT1!$AJ$1028</definedName>
    <definedName name="SCDPT1_104ENDINGG_33" localSheetId="0">GMIC_22A_SCDPT1!$AK$1028</definedName>
    <definedName name="SCDPT1_104ENDINGG_34" localSheetId="0">GMIC_22A_SCDPT1!$AL$1028</definedName>
    <definedName name="SCDPT1_104ENDINGG_35" localSheetId="0">GMIC_22A_SCDPT1!$AM$1028</definedName>
    <definedName name="SCDPT1_104ENDINGG_36" localSheetId="0">GMIC_22A_SCDPT1!$AN$1028</definedName>
    <definedName name="SCDPT1_104ENDINGG_4" localSheetId="0">GMIC_22A_SCDPT1!$F$1028</definedName>
    <definedName name="SCDPT1_104ENDINGG_5" localSheetId="0">GMIC_22A_SCDPT1!$G$1028</definedName>
    <definedName name="SCDPT1_104ENDINGG_6.01" localSheetId="0">GMIC_22A_SCDPT1!$H$1028</definedName>
    <definedName name="SCDPT1_104ENDINGG_6.02" localSheetId="0">GMIC_22A_SCDPT1!$I$1028</definedName>
    <definedName name="SCDPT1_104ENDINGG_6.03" localSheetId="0">GMIC_22A_SCDPT1!$J$1028</definedName>
    <definedName name="SCDPT1_104ENDINGG_7" localSheetId="0">GMIC_22A_SCDPT1!$K$1028</definedName>
    <definedName name="SCDPT1_104ENDINGG_8" localSheetId="0">GMIC_22A_SCDPT1!$L$1028</definedName>
    <definedName name="SCDPT1_104ENDINGG_9" localSheetId="0">GMIC_22A_SCDPT1!$M$1028</definedName>
    <definedName name="SCDPT1_1109999999_10" localSheetId="0">GMIC_22A_SCDPT1!$N$1030</definedName>
    <definedName name="SCDPT1_1109999999_11" localSheetId="0">GMIC_22A_SCDPT1!$O$1030</definedName>
    <definedName name="SCDPT1_1109999999_12" localSheetId="0">GMIC_22A_SCDPT1!$P$1030</definedName>
    <definedName name="SCDPT1_1109999999_13" localSheetId="0">GMIC_22A_SCDPT1!$Q$1030</definedName>
    <definedName name="SCDPT1_1109999999_14" localSheetId="0">GMIC_22A_SCDPT1!$R$1030</definedName>
    <definedName name="SCDPT1_1109999999_15" localSheetId="0">GMIC_22A_SCDPT1!$S$1030</definedName>
    <definedName name="SCDPT1_1109999999_19" localSheetId="0">GMIC_22A_SCDPT1!$W$1030</definedName>
    <definedName name="SCDPT1_1109999999_20" localSheetId="0">GMIC_22A_SCDPT1!$X$1030</definedName>
    <definedName name="SCDPT1_1109999999_7" localSheetId="0">GMIC_22A_SCDPT1!$K$1030</definedName>
    <definedName name="SCDPT1_1109999999_9" localSheetId="0">GMIC_22A_SCDPT1!$M$1030</definedName>
    <definedName name="SCDPT1_1210000000_Range" localSheetId="0">GMIC_22A_SCDPT1!$B$1031:$AN$1033</definedName>
    <definedName name="SCDPT1_1219999999_10" localSheetId="0">GMIC_22A_SCDPT1!$N$1034</definedName>
    <definedName name="SCDPT1_1219999999_11" localSheetId="0">GMIC_22A_SCDPT1!$O$1034</definedName>
    <definedName name="SCDPT1_1219999999_12" localSheetId="0">GMIC_22A_SCDPT1!$P$1034</definedName>
    <definedName name="SCDPT1_1219999999_13" localSheetId="0">GMIC_22A_SCDPT1!$Q$1034</definedName>
    <definedName name="SCDPT1_1219999999_14" localSheetId="0">GMIC_22A_SCDPT1!$R$1034</definedName>
    <definedName name="SCDPT1_1219999999_15" localSheetId="0">GMIC_22A_SCDPT1!$S$1034</definedName>
    <definedName name="SCDPT1_1219999999_19" localSheetId="0">GMIC_22A_SCDPT1!$W$1034</definedName>
    <definedName name="SCDPT1_1219999999_20" localSheetId="0">GMIC_22A_SCDPT1!$X$1034</definedName>
    <definedName name="SCDPT1_1219999999_7" localSheetId="0">GMIC_22A_SCDPT1!$K$1034</definedName>
    <definedName name="SCDPT1_1219999999_9" localSheetId="0">GMIC_22A_SCDPT1!$M$1034</definedName>
    <definedName name="SCDPT1_121BEGINNG_1" localSheetId="0">GMIC_22A_SCDPT1!$C$1031</definedName>
    <definedName name="SCDPT1_121BEGINNG_10" localSheetId="0">GMIC_22A_SCDPT1!$N$1031</definedName>
    <definedName name="SCDPT1_121BEGINNG_11" localSheetId="0">GMIC_22A_SCDPT1!$O$1031</definedName>
    <definedName name="SCDPT1_121BEGINNG_12" localSheetId="0">GMIC_22A_SCDPT1!$P$1031</definedName>
    <definedName name="SCDPT1_121BEGINNG_13" localSheetId="0">GMIC_22A_SCDPT1!$Q$1031</definedName>
    <definedName name="SCDPT1_121BEGINNG_14" localSheetId="0">GMIC_22A_SCDPT1!$R$1031</definedName>
    <definedName name="SCDPT1_121BEGINNG_15" localSheetId="0">GMIC_22A_SCDPT1!$S$1031</definedName>
    <definedName name="SCDPT1_121BEGINNG_16" localSheetId="0">GMIC_22A_SCDPT1!$T$1031</definedName>
    <definedName name="SCDPT1_121BEGINNG_17" localSheetId="0">GMIC_22A_SCDPT1!$U$1031</definedName>
    <definedName name="SCDPT1_121BEGINNG_18" localSheetId="0">GMIC_22A_SCDPT1!$V$1031</definedName>
    <definedName name="SCDPT1_121BEGINNG_19" localSheetId="0">GMIC_22A_SCDPT1!$W$1031</definedName>
    <definedName name="SCDPT1_121BEGINNG_2" localSheetId="0">GMIC_22A_SCDPT1!$D$1031</definedName>
    <definedName name="SCDPT1_121BEGINNG_20" localSheetId="0">GMIC_22A_SCDPT1!$X$1031</definedName>
    <definedName name="SCDPT1_121BEGINNG_21" localSheetId="0">GMIC_22A_SCDPT1!$Y$1031</definedName>
    <definedName name="SCDPT1_121BEGINNG_22" localSheetId="0">GMIC_22A_SCDPT1!$Z$1031</definedName>
    <definedName name="SCDPT1_121BEGINNG_23" localSheetId="0">GMIC_22A_SCDPT1!$AA$1031</definedName>
    <definedName name="SCDPT1_121BEGINNG_24" localSheetId="0">GMIC_22A_SCDPT1!$AB$1031</definedName>
    <definedName name="SCDPT1_121BEGINNG_25" localSheetId="0">GMIC_22A_SCDPT1!$AC$1031</definedName>
    <definedName name="SCDPT1_121BEGINNG_26" localSheetId="0">GMIC_22A_SCDPT1!$AD$1031</definedName>
    <definedName name="SCDPT1_121BEGINNG_27" localSheetId="0">GMIC_22A_SCDPT1!$AE$1031</definedName>
    <definedName name="SCDPT1_121BEGINNG_28" localSheetId="0">GMIC_22A_SCDPT1!$AF$1031</definedName>
    <definedName name="SCDPT1_121BEGINNG_29" localSheetId="0">GMIC_22A_SCDPT1!$AG$1031</definedName>
    <definedName name="SCDPT1_121BEGINNG_3" localSheetId="0">GMIC_22A_SCDPT1!$E$1031</definedName>
    <definedName name="SCDPT1_121BEGINNG_30" localSheetId="0">GMIC_22A_SCDPT1!$AH$1031</definedName>
    <definedName name="SCDPT1_121BEGINNG_31" localSheetId="0">GMIC_22A_SCDPT1!$AI$1031</definedName>
    <definedName name="SCDPT1_121BEGINNG_32" localSheetId="0">GMIC_22A_SCDPT1!$AJ$1031</definedName>
    <definedName name="SCDPT1_121BEGINNG_33" localSheetId="0">GMIC_22A_SCDPT1!$AK$1031</definedName>
    <definedName name="SCDPT1_121BEGINNG_34" localSheetId="0">GMIC_22A_SCDPT1!$AL$1031</definedName>
    <definedName name="SCDPT1_121BEGINNG_35" localSheetId="0">GMIC_22A_SCDPT1!$AM$1031</definedName>
    <definedName name="SCDPT1_121BEGINNG_36" localSheetId="0">GMIC_22A_SCDPT1!$AN$1031</definedName>
    <definedName name="SCDPT1_121BEGINNG_4" localSheetId="0">GMIC_22A_SCDPT1!$F$1031</definedName>
    <definedName name="SCDPT1_121BEGINNG_5" localSheetId="0">GMIC_22A_SCDPT1!$G$1031</definedName>
    <definedName name="SCDPT1_121BEGINNG_6.01" localSheetId="0">GMIC_22A_SCDPT1!$H$1031</definedName>
    <definedName name="SCDPT1_121BEGINNG_6.02" localSheetId="0">GMIC_22A_SCDPT1!$I$1031</definedName>
    <definedName name="SCDPT1_121BEGINNG_6.03" localSheetId="0">GMIC_22A_SCDPT1!$J$1031</definedName>
    <definedName name="SCDPT1_121BEGINNG_7" localSheetId="0">GMIC_22A_SCDPT1!$K$1031</definedName>
    <definedName name="SCDPT1_121BEGINNG_8" localSheetId="0">GMIC_22A_SCDPT1!$L$1031</definedName>
    <definedName name="SCDPT1_121BEGINNG_9" localSheetId="0">GMIC_22A_SCDPT1!$M$1031</definedName>
    <definedName name="SCDPT1_121ENDINGG_10" localSheetId="0">GMIC_22A_SCDPT1!$N$1033</definedName>
    <definedName name="SCDPT1_121ENDINGG_11" localSheetId="0">GMIC_22A_SCDPT1!$O$1033</definedName>
    <definedName name="SCDPT1_121ENDINGG_12" localSheetId="0">GMIC_22A_SCDPT1!$P$1033</definedName>
    <definedName name="SCDPT1_121ENDINGG_13" localSheetId="0">GMIC_22A_SCDPT1!$Q$1033</definedName>
    <definedName name="SCDPT1_121ENDINGG_14" localSheetId="0">GMIC_22A_SCDPT1!$R$1033</definedName>
    <definedName name="SCDPT1_121ENDINGG_15" localSheetId="0">GMIC_22A_SCDPT1!$S$1033</definedName>
    <definedName name="SCDPT1_121ENDINGG_16" localSheetId="0">GMIC_22A_SCDPT1!$T$1033</definedName>
    <definedName name="SCDPT1_121ENDINGG_17" localSheetId="0">GMIC_22A_SCDPT1!$U$1033</definedName>
    <definedName name="SCDPT1_121ENDINGG_18" localSheetId="0">GMIC_22A_SCDPT1!$V$1033</definedName>
    <definedName name="SCDPT1_121ENDINGG_19" localSheetId="0">GMIC_22A_SCDPT1!$W$1033</definedName>
    <definedName name="SCDPT1_121ENDINGG_2" localSheetId="0">GMIC_22A_SCDPT1!$D$1033</definedName>
    <definedName name="SCDPT1_121ENDINGG_20" localSheetId="0">GMIC_22A_SCDPT1!$X$1033</definedName>
    <definedName name="SCDPT1_121ENDINGG_21" localSheetId="0">GMIC_22A_SCDPT1!$Y$1033</definedName>
    <definedName name="SCDPT1_121ENDINGG_22" localSheetId="0">GMIC_22A_SCDPT1!$Z$1033</definedName>
    <definedName name="SCDPT1_121ENDINGG_23" localSheetId="0">GMIC_22A_SCDPT1!$AA$1033</definedName>
    <definedName name="SCDPT1_121ENDINGG_24" localSheetId="0">GMIC_22A_SCDPT1!$AB$1033</definedName>
    <definedName name="SCDPT1_121ENDINGG_25" localSheetId="0">GMIC_22A_SCDPT1!$AC$1033</definedName>
    <definedName name="SCDPT1_121ENDINGG_26" localSheetId="0">GMIC_22A_SCDPT1!$AD$1033</definedName>
    <definedName name="SCDPT1_121ENDINGG_27" localSheetId="0">GMIC_22A_SCDPT1!$AE$1033</definedName>
    <definedName name="SCDPT1_121ENDINGG_28" localSheetId="0">GMIC_22A_SCDPT1!$AF$1033</definedName>
    <definedName name="SCDPT1_121ENDINGG_29" localSheetId="0">GMIC_22A_SCDPT1!$AG$1033</definedName>
    <definedName name="SCDPT1_121ENDINGG_3" localSheetId="0">GMIC_22A_SCDPT1!$E$1033</definedName>
    <definedName name="SCDPT1_121ENDINGG_30" localSheetId="0">GMIC_22A_SCDPT1!$AH$1033</definedName>
    <definedName name="SCDPT1_121ENDINGG_31" localSheetId="0">GMIC_22A_SCDPT1!$AI$1033</definedName>
    <definedName name="SCDPT1_121ENDINGG_32" localSheetId="0">GMIC_22A_SCDPT1!$AJ$1033</definedName>
    <definedName name="SCDPT1_121ENDINGG_33" localSheetId="0">GMIC_22A_SCDPT1!$AK$1033</definedName>
    <definedName name="SCDPT1_121ENDINGG_34" localSheetId="0">GMIC_22A_SCDPT1!$AL$1033</definedName>
    <definedName name="SCDPT1_121ENDINGG_35" localSheetId="0">GMIC_22A_SCDPT1!$AM$1033</definedName>
    <definedName name="SCDPT1_121ENDINGG_36" localSheetId="0">GMIC_22A_SCDPT1!$AN$1033</definedName>
    <definedName name="SCDPT1_121ENDINGG_4" localSheetId="0">GMIC_22A_SCDPT1!$F$1033</definedName>
    <definedName name="SCDPT1_121ENDINGG_5" localSheetId="0">GMIC_22A_SCDPT1!$G$1033</definedName>
    <definedName name="SCDPT1_121ENDINGG_6.01" localSheetId="0">GMIC_22A_SCDPT1!$H$1033</definedName>
    <definedName name="SCDPT1_121ENDINGG_6.02" localSheetId="0">GMIC_22A_SCDPT1!$I$1033</definedName>
    <definedName name="SCDPT1_121ENDINGG_6.03" localSheetId="0">GMIC_22A_SCDPT1!$J$1033</definedName>
    <definedName name="SCDPT1_121ENDINGG_7" localSheetId="0">GMIC_22A_SCDPT1!$K$1033</definedName>
    <definedName name="SCDPT1_121ENDINGG_8" localSheetId="0">GMIC_22A_SCDPT1!$L$1033</definedName>
    <definedName name="SCDPT1_121ENDINGG_9" localSheetId="0">GMIC_22A_SCDPT1!$M$1033</definedName>
    <definedName name="SCDPT1_1220000000_Range" localSheetId="0">GMIC_22A_SCDPT1!$B$1035:$AN$1037</definedName>
    <definedName name="SCDPT1_1229999999_10" localSheetId="0">GMIC_22A_SCDPT1!$N$1038</definedName>
    <definedName name="SCDPT1_1229999999_11" localSheetId="0">GMIC_22A_SCDPT1!$O$1038</definedName>
    <definedName name="SCDPT1_1229999999_12" localSheetId="0">GMIC_22A_SCDPT1!$P$1038</definedName>
    <definedName name="SCDPT1_1229999999_13" localSheetId="0">GMIC_22A_SCDPT1!$Q$1038</definedName>
    <definedName name="SCDPT1_1229999999_14" localSheetId="0">GMIC_22A_SCDPT1!$R$1038</definedName>
    <definedName name="SCDPT1_1229999999_15" localSheetId="0">GMIC_22A_SCDPT1!$S$1038</definedName>
    <definedName name="SCDPT1_1229999999_19" localSheetId="0">GMIC_22A_SCDPT1!$W$1038</definedName>
    <definedName name="SCDPT1_1229999999_20" localSheetId="0">GMIC_22A_SCDPT1!$X$1038</definedName>
    <definedName name="SCDPT1_1229999999_7" localSheetId="0">GMIC_22A_SCDPT1!$K$1038</definedName>
    <definedName name="SCDPT1_1229999999_9" localSheetId="0">GMIC_22A_SCDPT1!$M$1038</definedName>
    <definedName name="SCDPT1_122BEGINNG_1" localSheetId="0">GMIC_22A_SCDPT1!$C$1035</definedName>
    <definedName name="SCDPT1_122BEGINNG_10" localSheetId="0">GMIC_22A_SCDPT1!$N$1035</definedName>
    <definedName name="SCDPT1_122BEGINNG_11" localSheetId="0">GMIC_22A_SCDPT1!$O$1035</definedName>
    <definedName name="SCDPT1_122BEGINNG_12" localSheetId="0">GMIC_22A_SCDPT1!$P$1035</definedName>
    <definedName name="SCDPT1_122BEGINNG_13" localSheetId="0">GMIC_22A_SCDPT1!$Q$1035</definedName>
    <definedName name="SCDPT1_122BEGINNG_14" localSheetId="0">GMIC_22A_SCDPT1!$R$1035</definedName>
    <definedName name="SCDPT1_122BEGINNG_15" localSheetId="0">GMIC_22A_SCDPT1!$S$1035</definedName>
    <definedName name="SCDPT1_122BEGINNG_16" localSheetId="0">GMIC_22A_SCDPT1!$T$1035</definedName>
    <definedName name="SCDPT1_122BEGINNG_17" localSheetId="0">GMIC_22A_SCDPT1!$U$1035</definedName>
    <definedName name="SCDPT1_122BEGINNG_18" localSheetId="0">GMIC_22A_SCDPT1!$V$1035</definedName>
    <definedName name="SCDPT1_122BEGINNG_19" localSheetId="0">GMIC_22A_SCDPT1!$W$1035</definedName>
    <definedName name="SCDPT1_122BEGINNG_2" localSheetId="0">GMIC_22A_SCDPT1!$D$1035</definedName>
    <definedName name="SCDPT1_122BEGINNG_20" localSheetId="0">GMIC_22A_SCDPT1!$X$1035</definedName>
    <definedName name="SCDPT1_122BEGINNG_21" localSheetId="0">GMIC_22A_SCDPT1!$Y$1035</definedName>
    <definedName name="SCDPT1_122BEGINNG_22" localSheetId="0">GMIC_22A_SCDPT1!$Z$1035</definedName>
    <definedName name="SCDPT1_122BEGINNG_23" localSheetId="0">GMIC_22A_SCDPT1!$AA$1035</definedName>
    <definedName name="SCDPT1_122BEGINNG_24" localSheetId="0">GMIC_22A_SCDPT1!$AB$1035</definedName>
    <definedName name="SCDPT1_122BEGINNG_25" localSheetId="0">GMIC_22A_SCDPT1!$AC$1035</definedName>
    <definedName name="SCDPT1_122BEGINNG_26" localSheetId="0">GMIC_22A_SCDPT1!$AD$1035</definedName>
    <definedName name="SCDPT1_122BEGINNG_27" localSheetId="0">GMIC_22A_SCDPT1!$AE$1035</definedName>
    <definedName name="SCDPT1_122BEGINNG_28" localSheetId="0">GMIC_22A_SCDPT1!$AF$1035</definedName>
    <definedName name="SCDPT1_122BEGINNG_29" localSheetId="0">GMIC_22A_SCDPT1!$AG$1035</definedName>
    <definedName name="SCDPT1_122BEGINNG_3" localSheetId="0">GMIC_22A_SCDPT1!$E$1035</definedName>
    <definedName name="SCDPT1_122BEGINNG_30" localSheetId="0">GMIC_22A_SCDPT1!$AH$1035</definedName>
    <definedName name="SCDPT1_122BEGINNG_31" localSheetId="0">GMIC_22A_SCDPT1!$AI$1035</definedName>
    <definedName name="SCDPT1_122BEGINNG_32" localSheetId="0">GMIC_22A_SCDPT1!$AJ$1035</definedName>
    <definedName name="SCDPT1_122BEGINNG_33" localSheetId="0">GMIC_22A_SCDPT1!$AK$1035</definedName>
    <definedName name="SCDPT1_122BEGINNG_34" localSheetId="0">GMIC_22A_SCDPT1!$AL$1035</definedName>
    <definedName name="SCDPT1_122BEGINNG_35" localSheetId="0">GMIC_22A_SCDPT1!$AM$1035</definedName>
    <definedName name="SCDPT1_122BEGINNG_36" localSheetId="0">GMIC_22A_SCDPT1!$AN$1035</definedName>
    <definedName name="SCDPT1_122BEGINNG_4" localSheetId="0">GMIC_22A_SCDPT1!$F$1035</definedName>
    <definedName name="SCDPT1_122BEGINNG_5" localSheetId="0">GMIC_22A_SCDPT1!$G$1035</definedName>
    <definedName name="SCDPT1_122BEGINNG_6.01" localSheetId="0">GMIC_22A_SCDPT1!$H$1035</definedName>
    <definedName name="SCDPT1_122BEGINNG_6.02" localSheetId="0">GMIC_22A_SCDPT1!$I$1035</definedName>
    <definedName name="SCDPT1_122BEGINNG_6.03" localSheetId="0">GMIC_22A_SCDPT1!$J$1035</definedName>
    <definedName name="SCDPT1_122BEGINNG_7" localSheetId="0">GMIC_22A_SCDPT1!$K$1035</definedName>
    <definedName name="SCDPT1_122BEGINNG_8" localSheetId="0">GMIC_22A_SCDPT1!$L$1035</definedName>
    <definedName name="SCDPT1_122BEGINNG_9" localSheetId="0">GMIC_22A_SCDPT1!$M$1035</definedName>
    <definedName name="SCDPT1_122ENDINGG_10" localSheetId="0">GMIC_22A_SCDPT1!$N$1037</definedName>
    <definedName name="SCDPT1_122ENDINGG_11" localSheetId="0">GMIC_22A_SCDPT1!$O$1037</definedName>
    <definedName name="SCDPT1_122ENDINGG_12" localSheetId="0">GMIC_22A_SCDPT1!$P$1037</definedName>
    <definedName name="SCDPT1_122ENDINGG_13" localSheetId="0">GMIC_22A_SCDPT1!$Q$1037</definedName>
    <definedName name="SCDPT1_122ENDINGG_14" localSheetId="0">GMIC_22A_SCDPT1!$R$1037</definedName>
    <definedName name="SCDPT1_122ENDINGG_15" localSheetId="0">GMIC_22A_SCDPT1!$S$1037</definedName>
    <definedName name="SCDPT1_122ENDINGG_16" localSheetId="0">GMIC_22A_SCDPT1!$T$1037</definedName>
    <definedName name="SCDPT1_122ENDINGG_17" localSheetId="0">GMIC_22A_SCDPT1!$U$1037</definedName>
    <definedName name="SCDPT1_122ENDINGG_18" localSheetId="0">GMIC_22A_SCDPT1!$V$1037</definedName>
    <definedName name="SCDPT1_122ENDINGG_19" localSheetId="0">GMIC_22A_SCDPT1!$W$1037</definedName>
    <definedName name="SCDPT1_122ENDINGG_2" localSheetId="0">GMIC_22A_SCDPT1!$D$1037</definedName>
    <definedName name="SCDPT1_122ENDINGG_20" localSheetId="0">GMIC_22A_SCDPT1!$X$1037</definedName>
    <definedName name="SCDPT1_122ENDINGG_21" localSheetId="0">GMIC_22A_SCDPT1!$Y$1037</definedName>
    <definedName name="SCDPT1_122ENDINGG_22" localSheetId="0">GMIC_22A_SCDPT1!$Z$1037</definedName>
    <definedName name="SCDPT1_122ENDINGG_23" localSheetId="0">GMIC_22A_SCDPT1!$AA$1037</definedName>
    <definedName name="SCDPT1_122ENDINGG_24" localSheetId="0">GMIC_22A_SCDPT1!$AB$1037</definedName>
    <definedName name="SCDPT1_122ENDINGG_25" localSheetId="0">GMIC_22A_SCDPT1!$AC$1037</definedName>
    <definedName name="SCDPT1_122ENDINGG_26" localSheetId="0">GMIC_22A_SCDPT1!$AD$1037</definedName>
    <definedName name="SCDPT1_122ENDINGG_27" localSheetId="0">GMIC_22A_SCDPT1!$AE$1037</definedName>
    <definedName name="SCDPT1_122ENDINGG_28" localSheetId="0">GMIC_22A_SCDPT1!$AF$1037</definedName>
    <definedName name="SCDPT1_122ENDINGG_29" localSheetId="0">GMIC_22A_SCDPT1!$AG$1037</definedName>
    <definedName name="SCDPT1_122ENDINGG_3" localSheetId="0">GMIC_22A_SCDPT1!$E$1037</definedName>
    <definedName name="SCDPT1_122ENDINGG_30" localSheetId="0">GMIC_22A_SCDPT1!$AH$1037</definedName>
    <definedName name="SCDPT1_122ENDINGG_31" localSheetId="0">GMIC_22A_SCDPT1!$AI$1037</definedName>
    <definedName name="SCDPT1_122ENDINGG_32" localSheetId="0">GMIC_22A_SCDPT1!$AJ$1037</definedName>
    <definedName name="SCDPT1_122ENDINGG_33" localSheetId="0">GMIC_22A_SCDPT1!$AK$1037</definedName>
    <definedName name="SCDPT1_122ENDINGG_34" localSheetId="0">GMIC_22A_SCDPT1!$AL$1037</definedName>
    <definedName name="SCDPT1_122ENDINGG_35" localSheetId="0">GMIC_22A_SCDPT1!$AM$1037</definedName>
    <definedName name="SCDPT1_122ENDINGG_36" localSheetId="0">GMIC_22A_SCDPT1!$AN$1037</definedName>
    <definedName name="SCDPT1_122ENDINGG_4" localSheetId="0">GMIC_22A_SCDPT1!$F$1037</definedName>
    <definedName name="SCDPT1_122ENDINGG_5" localSheetId="0">GMIC_22A_SCDPT1!$G$1037</definedName>
    <definedName name="SCDPT1_122ENDINGG_6.01" localSheetId="0">GMIC_22A_SCDPT1!$H$1037</definedName>
    <definedName name="SCDPT1_122ENDINGG_6.02" localSheetId="0">GMIC_22A_SCDPT1!$I$1037</definedName>
    <definedName name="SCDPT1_122ENDINGG_6.03" localSheetId="0">GMIC_22A_SCDPT1!$J$1037</definedName>
    <definedName name="SCDPT1_122ENDINGG_7" localSheetId="0">GMIC_22A_SCDPT1!$K$1037</definedName>
    <definedName name="SCDPT1_122ENDINGG_8" localSheetId="0">GMIC_22A_SCDPT1!$L$1037</definedName>
    <definedName name="SCDPT1_122ENDINGG_9" localSheetId="0">GMIC_22A_SCDPT1!$M$1037</definedName>
    <definedName name="SCDPT1_1230000000_Range" localSheetId="0">GMIC_22A_SCDPT1!$B$1039:$AN$1041</definedName>
    <definedName name="SCDPT1_1239999999_10" localSheetId="0">GMIC_22A_SCDPT1!$N$1042</definedName>
    <definedName name="SCDPT1_1239999999_11" localSheetId="0">GMIC_22A_SCDPT1!$O$1042</definedName>
    <definedName name="SCDPT1_1239999999_12" localSheetId="0">GMIC_22A_SCDPT1!$P$1042</definedName>
    <definedName name="SCDPT1_1239999999_13" localSheetId="0">GMIC_22A_SCDPT1!$Q$1042</definedName>
    <definedName name="SCDPT1_1239999999_14" localSheetId="0">GMIC_22A_SCDPT1!$R$1042</definedName>
    <definedName name="SCDPT1_1239999999_15" localSheetId="0">GMIC_22A_SCDPT1!$S$1042</definedName>
    <definedName name="SCDPT1_1239999999_19" localSheetId="0">GMIC_22A_SCDPT1!$W$1042</definedName>
    <definedName name="SCDPT1_1239999999_20" localSheetId="0">GMIC_22A_SCDPT1!$X$1042</definedName>
    <definedName name="SCDPT1_1239999999_7" localSheetId="0">GMIC_22A_SCDPT1!$K$1042</definedName>
    <definedName name="SCDPT1_1239999999_9" localSheetId="0">GMIC_22A_SCDPT1!$M$1042</definedName>
    <definedName name="SCDPT1_123BEGINNG_1" localSheetId="0">GMIC_22A_SCDPT1!$C$1039</definedName>
    <definedName name="SCDPT1_123BEGINNG_10" localSheetId="0">GMIC_22A_SCDPT1!$N$1039</definedName>
    <definedName name="SCDPT1_123BEGINNG_11" localSheetId="0">GMIC_22A_SCDPT1!$O$1039</definedName>
    <definedName name="SCDPT1_123BEGINNG_12" localSheetId="0">GMIC_22A_SCDPT1!$P$1039</definedName>
    <definedName name="SCDPT1_123BEGINNG_13" localSheetId="0">GMIC_22A_SCDPT1!$Q$1039</definedName>
    <definedName name="SCDPT1_123BEGINNG_14" localSheetId="0">GMIC_22A_SCDPT1!$R$1039</definedName>
    <definedName name="SCDPT1_123BEGINNG_15" localSheetId="0">GMIC_22A_SCDPT1!$S$1039</definedName>
    <definedName name="SCDPT1_123BEGINNG_16" localSheetId="0">GMIC_22A_SCDPT1!$T$1039</definedName>
    <definedName name="SCDPT1_123BEGINNG_17" localSheetId="0">GMIC_22A_SCDPT1!$U$1039</definedName>
    <definedName name="SCDPT1_123BEGINNG_18" localSheetId="0">GMIC_22A_SCDPT1!$V$1039</definedName>
    <definedName name="SCDPT1_123BEGINNG_19" localSheetId="0">GMIC_22A_SCDPT1!$W$1039</definedName>
    <definedName name="SCDPT1_123BEGINNG_2" localSheetId="0">GMIC_22A_SCDPT1!$D$1039</definedName>
    <definedName name="SCDPT1_123BEGINNG_20" localSheetId="0">GMIC_22A_SCDPT1!$X$1039</definedName>
    <definedName name="SCDPT1_123BEGINNG_21" localSheetId="0">GMIC_22A_SCDPT1!$Y$1039</definedName>
    <definedName name="SCDPT1_123BEGINNG_22" localSheetId="0">GMIC_22A_SCDPT1!$Z$1039</definedName>
    <definedName name="SCDPT1_123BEGINNG_23" localSheetId="0">GMIC_22A_SCDPT1!$AA$1039</definedName>
    <definedName name="SCDPT1_123BEGINNG_24" localSheetId="0">GMIC_22A_SCDPT1!$AB$1039</definedName>
    <definedName name="SCDPT1_123BEGINNG_25" localSheetId="0">GMIC_22A_SCDPT1!$AC$1039</definedName>
    <definedName name="SCDPT1_123BEGINNG_26" localSheetId="0">GMIC_22A_SCDPT1!$AD$1039</definedName>
    <definedName name="SCDPT1_123BEGINNG_27" localSheetId="0">GMIC_22A_SCDPT1!$AE$1039</definedName>
    <definedName name="SCDPT1_123BEGINNG_28" localSheetId="0">GMIC_22A_SCDPT1!$AF$1039</definedName>
    <definedName name="SCDPT1_123BEGINNG_29" localSheetId="0">GMIC_22A_SCDPT1!$AG$1039</definedName>
    <definedName name="SCDPT1_123BEGINNG_3" localSheetId="0">GMIC_22A_SCDPT1!$E$1039</definedName>
    <definedName name="SCDPT1_123BEGINNG_30" localSheetId="0">GMIC_22A_SCDPT1!$AH$1039</definedName>
    <definedName name="SCDPT1_123BEGINNG_31" localSheetId="0">GMIC_22A_SCDPT1!$AI$1039</definedName>
    <definedName name="SCDPT1_123BEGINNG_32" localSheetId="0">GMIC_22A_SCDPT1!$AJ$1039</definedName>
    <definedName name="SCDPT1_123BEGINNG_33" localSheetId="0">GMIC_22A_SCDPT1!$AK$1039</definedName>
    <definedName name="SCDPT1_123BEGINNG_34" localSheetId="0">GMIC_22A_SCDPT1!$AL$1039</definedName>
    <definedName name="SCDPT1_123BEGINNG_35" localSheetId="0">GMIC_22A_SCDPT1!$AM$1039</definedName>
    <definedName name="SCDPT1_123BEGINNG_36" localSheetId="0">GMIC_22A_SCDPT1!$AN$1039</definedName>
    <definedName name="SCDPT1_123BEGINNG_4" localSheetId="0">GMIC_22A_SCDPT1!$F$1039</definedName>
    <definedName name="SCDPT1_123BEGINNG_5" localSheetId="0">GMIC_22A_SCDPT1!$G$1039</definedName>
    <definedName name="SCDPT1_123BEGINNG_6.01" localSheetId="0">GMIC_22A_SCDPT1!$H$1039</definedName>
    <definedName name="SCDPT1_123BEGINNG_6.02" localSheetId="0">GMIC_22A_SCDPT1!$I$1039</definedName>
    <definedName name="SCDPT1_123BEGINNG_6.03" localSheetId="0">GMIC_22A_SCDPT1!$J$1039</definedName>
    <definedName name="SCDPT1_123BEGINNG_7" localSheetId="0">GMIC_22A_SCDPT1!$K$1039</definedName>
    <definedName name="SCDPT1_123BEGINNG_8" localSheetId="0">GMIC_22A_SCDPT1!$L$1039</definedName>
    <definedName name="SCDPT1_123BEGINNG_9" localSheetId="0">GMIC_22A_SCDPT1!$M$1039</definedName>
    <definedName name="SCDPT1_123ENDINGG_10" localSheetId="0">GMIC_22A_SCDPT1!$N$1041</definedName>
    <definedName name="SCDPT1_123ENDINGG_11" localSheetId="0">GMIC_22A_SCDPT1!$O$1041</definedName>
    <definedName name="SCDPT1_123ENDINGG_12" localSheetId="0">GMIC_22A_SCDPT1!$P$1041</definedName>
    <definedName name="SCDPT1_123ENDINGG_13" localSheetId="0">GMIC_22A_SCDPT1!$Q$1041</definedName>
    <definedName name="SCDPT1_123ENDINGG_14" localSheetId="0">GMIC_22A_SCDPT1!$R$1041</definedName>
    <definedName name="SCDPT1_123ENDINGG_15" localSheetId="0">GMIC_22A_SCDPT1!$S$1041</definedName>
    <definedName name="SCDPT1_123ENDINGG_16" localSheetId="0">GMIC_22A_SCDPT1!$T$1041</definedName>
    <definedName name="SCDPT1_123ENDINGG_17" localSheetId="0">GMIC_22A_SCDPT1!$U$1041</definedName>
    <definedName name="SCDPT1_123ENDINGG_18" localSheetId="0">GMIC_22A_SCDPT1!$V$1041</definedName>
    <definedName name="SCDPT1_123ENDINGG_19" localSheetId="0">GMIC_22A_SCDPT1!$W$1041</definedName>
    <definedName name="SCDPT1_123ENDINGG_2" localSheetId="0">GMIC_22A_SCDPT1!$D$1041</definedName>
    <definedName name="SCDPT1_123ENDINGG_20" localSheetId="0">GMIC_22A_SCDPT1!$X$1041</definedName>
    <definedName name="SCDPT1_123ENDINGG_21" localSheetId="0">GMIC_22A_SCDPT1!$Y$1041</definedName>
    <definedName name="SCDPT1_123ENDINGG_22" localSheetId="0">GMIC_22A_SCDPT1!$Z$1041</definedName>
    <definedName name="SCDPT1_123ENDINGG_23" localSheetId="0">GMIC_22A_SCDPT1!$AA$1041</definedName>
    <definedName name="SCDPT1_123ENDINGG_24" localSheetId="0">GMIC_22A_SCDPT1!$AB$1041</definedName>
    <definedName name="SCDPT1_123ENDINGG_25" localSheetId="0">GMIC_22A_SCDPT1!$AC$1041</definedName>
    <definedName name="SCDPT1_123ENDINGG_26" localSheetId="0">GMIC_22A_SCDPT1!$AD$1041</definedName>
    <definedName name="SCDPT1_123ENDINGG_27" localSheetId="0">GMIC_22A_SCDPT1!$AE$1041</definedName>
    <definedName name="SCDPT1_123ENDINGG_28" localSheetId="0">GMIC_22A_SCDPT1!$AF$1041</definedName>
    <definedName name="SCDPT1_123ENDINGG_29" localSheetId="0">GMIC_22A_SCDPT1!$AG$1041</definedName>
    <definedName name="SCDPT1_123ENDINGG_3" localSheetId="0">GMIC_22A_SCDPT1!$E$1041</definedName>
    <definedName name="SCDPT1_123ENDINGG_30" localSheetId="0">GMIC_22A_SCDPT1!$AH$1041</definedName>
    <definedName name="SCDPT1_123ENDINGG_31" localSheetId="0">GMIC_22A_SCDPT1!$AI$1041</definedName>
    <definedName name="SCDPT1_123ENDINGG_32" localSheetId="0">GMIC_22A_SCDPT1!$AJ$1041</definedName>
    <definedName name="SCDPT1_123ENDINGG_33" localSheetId="0">GMIC_22A_SCDPT1!$AK$1041</definedName>
    <definedName name="SCDPT1_123ENDINGG_34" localSheetId="0">GMIC_22A_SCDPT1!$AL$1041</definedName>
    <definedName name="SCDPT1_123ENDINGG_35" localSheetId="0">GMIC_22A_SCDPT1!$AM$1041</definedName>
    <definedName name="SCDPT1_123ENDINGG_36" localSheetId="0">GMIC_22A_SCDPT1!$AN$1041</definedName>
    <definedName name="SCDPT1_123ENDINGG_4" localSheetId="0">GMIC_22A_SCDPT1!$F$1041</definedName>
    <definedName name="SCDPT1_123ENDINGG_5" localSheetId="0">GMIC_22A_SCDPT1!$G$1041</definedName>
    <definedName name="SCDPT1_123ENDINGG_6.01" localSheetId="0">GMIC_22A_SCDPT1!$H$1041</definedName>
    <definedName name="SCDPT1_123ENDINGG_6.02" localSheetId="0">GMIC_22A_SCDPT1!$I$1041</definedName>
    <definedName name="SCDPT1_123ENDINGG_6.03" localSheetId="0">GMIC_22A_SCDPT1!$J$1041</definedName>
    <definedName name="SCDPT1_123ENDINGG_7" localSheetId="0">GMIC_22A_SCDPT1!$K$1041</definedName>
    <definedName name="SCDPT1_123ENDINGG_8" localSheetId="0">GMIC_22A_SCDPT1!$L$1041</definedName>
    <definedName name="SCDPT1_123ENDINGG_9" localSheetId="0">GMIC_22A_SCDPT1!$M$1041</definedName>
    <definedName name="SCDPT1_1240000000_Range" localSheetId="0">GMIC_22A_SCDPT1!$B$1043:$AN$1045</definedName>
    <definedName name="SCDPT1_1249999999_10" localSheetId="0">GMIC_22A_SCDPT1!$N$1046</definedName>
    <definedName name="SCDPT1_1249999999_11" localSheetId="0">GMIC_22A_SCDPT1!$O$1046</definedName>
    <definedName name="SCDPT1_1249999999_12" localSheetId="0">GMIC_22A_SCDPT1!$P$1046</definedName>
    <definedName name="SCDPT1_1249999999_13" localSheetId="0">GMIC_22A_SCDPT1!$Q$1046</definedName>
    <definedName name="SCDPT1_1249999999_14" localSheetId="0">GMIC_22A_SCDPT1!$R$1046</definedName>
    <definedName name="SCDPT1_1249999999_15" localSheetId="0">GMIC_22A_SCDPT1!$S$1046</definedName>
    <definedName name="SCDPT1_1249999999_19" localSheetId="0">GMIC_22A_SCDPT1!$W$1046</definedName>
    <definedName name="SCDPT1_1249999999_20" localSheetId="0">GMIC_22A_SCDPT1!$X$1046</definedName>
    <definedName name="SCDPT1_1249999999_7" localSheetId="0">GMIC_22A_SCDPT1!$K$1046</definedName>
    <definedName name="SCDPT1_1249999999_9" localSheetId="0">GMIC_22A_SCDPT1!$M$1046</definedName>
    <definedName name="SCDPT1_124BEGINNG_1" localSheetId="0">GMIC_22A_SCDPT1!$C$1043</definedName>
    <definedName name="SCDPT1_124BEGINNG_10" localSheetId="0">GMIC_22A_SCDPT1!$N$1043</definedName>
    <definedName name="SCDPT1_124BEGINNG_11" localSheetId="0">GMIC_22A_SCDPT1!$O$1043</definedName>
    <definedName name="SCDPT1_124BEGINNG_12" localSheetId="0">GMIC_22A_SCDPT1!$P$1043</definedName>
    <definedName name="SCDPT1_124BEGINNG_13" localSheetId="0">GMIC_22A_SCDPT1!$Q$1043</definedName>
    <definedName name="SCDPT1_124BEGINNG_14" localSheetId="0">GMIC_22A_SCDPT1!$R$1043</definedName>
    <definedName name="SCDPT1_124BEGINNG_15" localSheetId="0">GMIC_22A_SCDPT1!$S$1043</definedName>
    <definedName name="SCDPT1_124BEGINNG_16" localSheetId="0">GMIC_22A_SCDPT1!$T$1043</definedName>
    <definedName name="SCDPT1_124BEGINNG_17" localSheetId="0">GMIC_22A_SCDPT1!$U$1043</definedName>
    <definedName name="SCDPT1_124BEGINNG_18" localSheetId="0">GMIC_22A_SCDPT1!$V$1043</definedName>
    <definedName name="SCDPT1_124BEGINNG_19" localSheetId="0">GMIC_22A_SCDPT1!$W$1043</definedName>
    <definedName name="SCDPT1_124BEGINNG_2" localSheetId="0">GMIC_22A_SCDPT1!$D$1043</definedName>
    <definedName name="SCDPT1_124BEGINNG_20" localSheetId="0">GMIC_22A_SCDPT1!$X$1043</definedName>
    <definedName name="SCDPT1_124BEGINNG_21" localSheetId="0">GMIC_22A_SCDPT1!$Y$1043</definedName>
    <definedName name="SCDPT1_124BEGINNG_22" localSheetId="0">GMIC_22A_SCDPT1!$Z$1043</definedName>
    <definedName name="SCDPT1_124BEGINNG_23" localSheetId="0">GMIC_22A_SCDPT1!$AA$1043</definedName>
    <definedName name="SCDPT1_124BEGINNG_24" localSheetId="0">GMIC_22A_SCDPT1!$AB$1043</definedName>
    <definedName name="SCDPT1_124BEGINNG_25" localSheetId="0">GMIC_22A_SCDPT1!$AC$1043</definedName>
    <definedName name="SCDPT1_124BEGINNG_26" localSheetId="0">GMIC_22A_SCDPT1!$AD$1043</definedName>
    <definedName name="SCDPT1_124BEGINNG_27" localSheetId="0">GMIC_22A_SCDPT1!$AE$1043</definedName>
    <definedName name="SCDPT1_124BEGINNG_28" localSheetId="0">GMIC_22A_SCDPT1!$AF$1043</definedName>
    <definedName name="SCDPT1_124BEGINNG_29" localSheetId="0">GMIC_22A_SCDPT1!$AG$1043</definedName>
    <definedName name="SCDPT1_124BEGINNG_3" localSheetId="0">GMIC_22A_SCDPT1!$E$1043</definedName>
    <definedName name="SCDPT1_124BEGINNG_30" localSheetId="0">GMIC_22A_SCDPT1!$AH$1043</definedName>
    <definedName name="SCDPT1_124BEGINNG_31" localSheetId="0">GMIC_22A_SCDPT1!$AI$1043</definedName>
    <definedName name="SCDPT1_124BEGINNG_32" localSheetId="0">GMIC_22A_SCDPT1!$AJ$1043</definedName>
    <definedName name="SCDPT1_124BEGINNG_33" localSheetId="0">GMIC_22A_SCDPT1!$AK$1043</definedName>
    <definedName name="SCDPT1_124BEGINNG_34" localSheetId="0">GMIC_22A_SCDPT1!$AL$1043</definedName>
    <definedName name="SCDPT1_124BEGINNG_35" localSheetId="0">GMIC_22A_SCDPT1!$AM$1043</definedName>
    <definedName name="SCDPT1_124BEGINNG_36" localSheetId="0">GMIC_22A_SCDPT1!$AN$1043</definedName>
    <definedName name="SCDPT1_124BEGINNG_4" localSheetId="0">GMIC_22A_SCDPT1!$F$1043</definedName>
    <definedName name="SCDPT1_124BEGINNG_5" localSheetId="0">GMIC_22A_SCDPT1!$G$1043</definedName>
    <definedName name="SCDPT1_124BEGINNG_6.01" localSheetId="0">GMIC_22A_SCDPT1!$H$1043</definedName>
    <definedName name="SCDPT1_124BEGINNG_6.02" localSheetId="0">GMIC_22A_SCDPT1!$I$1043</definedName>
    <definedName name="SCDPT1_124BEGINNG_6.03" localSheetId="0">GMIC_22A_SCDPT1!$J$1043</definedName>
    <definedName name="SCDPT1_124BEGINNG_7" localSheetId="0">GMIC_22A_SCDPT1!$K$1043</definedName>
    <definedName name="SCDPT1_124BEGINNG_8" localSheetId="0">GMIC_22A_SCDPT1!$L$1043</definedName>
    <definedName name="SCDPT1_124BEGINNG_9" localSheetId="0">GMIC_22A_SCDPT1!$M$1043</definedName>
    <definedName name="SCDPT1_124ENDINGG_10" localSheetId="0">GMIC_22A_SCDPT1!$N$1045</definedName>
    <definedName name="SCDPT1_124ENDINGG_11" localSheetId="0">GMIC_22A_SCDPT1!$O$1045</definedName>
    <definedName name="SCDPT1_124ENDINGG_12" localSheetId="0">GMIC_22A_SCDPT1!$P$1045</definedName>
    <definedName name="SCDPT1_124ENDINGG_13" localSheetId="0">GMIC_22A_SCDPT1!$Q$1045</definedName>
    <definedName name="SCDPT1_124ENDINGG_14" localSheetId="0">GMIC_22A_SCDPT1!$R$1045</definedName>
    <definedName name="SCDPT1_124ENDINGG_15" localSheetId="0">GMIC_22A_SCDPT1!$S$1045</definedName>
    <definedName name="SCDPT1_124ENDINGG_16" localSheetId="0">GMIC_22A_SCDPT1!$T$1045</definedName>
    <definedName name="SCDPT1_124ENDINGG_17" localSheetId="0">GMIC_22A_SCDPT1!$U$1045</definedName>
    <definedName name="SCDPT1_124ENDINGG_18" localSheetId="0">GMIC_22A_SCDPT1!$V$1045</definedName>
    <definedName name="SCDPT1_124ENDINGG_19" localSheetId="0">GMIC_22A_SCDPT1!$W$1045</definedName>
    <definedName name="SCDPT1_124ENDINGG_2" localSheetId="0">GMIC_22A_SCDPT1!$D$1045</definedName>
    <definedName name="SCDPT1_124ENDINGG_20" localSheetId="0">GMIC_22A_SCDPT1!$X$1045</definedName>
    <definedName name="SCDPT1_124ENDINGG_21" localSheetId="0">GMIC_22A_SCDPT1!$Y$1045</definedName>
    <definedName name="SCDPT1_124ENDINGG_22" localSheetId="0">GMIC_22A_SCDPT1!$Z$1045</definedName>
    <definedName name="SCDPT1_124ENDINGG_23" localSheetId="0">GMIC_22A_SCDPT1!$AA$1045</definedName>
    <definedName name="SCDPT1_124ENDINGG_24" localSheetId="0">GMIC_22A_SCDPT1!$AB$1045</definedName>
    <definedName name="SCDPT1_124ENDINGG_25" localSheetId="0">GMIC_22A_SCDPT1!$AC$1045</definedName>
    <definedName name="SCDPT1_124ENDINGG_26" localSheetId="0">GMIC_22A_SCDPT1!$AD$1045</definedName>
    <definedName name="SCDPT1_124ENDINGG_27" localSheetId="0">GMIC_22A_SCDPT1!$AE$1045</definedName>
    <definedName name="SCDPT1_124ENDINGG_28" localSheetId="0">GMIC_22A_SCDPT1!$AF$1045</definedName>
    <definedName name="SCDPT1_124ENDINGG_29" localSheetId="0">GMIC_22A_SCDPT1!$AG$1045</definedName>
    <definedName name="SCDPT1_124ENDINGG_3" localSheetId="0">GMIC_22A_SCDPT1!$E$1045</definedName>
    <definedName name="SCDPT1_124ENDINGG_30" localSheetId="0">GMIC_22A_SCDPT1!$AH$1045</definedName>
    <definedName name="SCDPT1_124ENDINGG_31" localSheetId="0">GMIC_22A_SCDPT1!$AI$1045</definedName>
    <definedName name="SCDPT1_124ENDINGG_32" localSheetId="0">GMIC_22A_SCDPT1!$AJ$1045</definedName>
    <definedName name="SCDPT1_124ENDINGG_33" localSheetId="0">GMIC_22A_SCDPT1!$AK$1045</definedName>
    <definedName name="SCDPT1_124ENDINGG_34" localSheetId="0">GMIC_22A_SCDPT1!$AL$1045</definedName>
    <definedName name="SCDPT1_124ENDINGG_35" localSheetId="0">GMIC_22A_SCDPT1!$AM$1045</definedName>
    <definedName name="SCDPT1_124ENDINGG_36" localSheetId="0">GMIC_22A_SCDPT1!$AN$1045</definedName>
    <definedName name="SCDPT1_124ENDINGG_4" localSheetId="0">GMIC_22A_SCDPT1!$F$1045</definedName>
    <definedName name="SCDPT1_124ENDINGG_5" localSheetId="0">GMIC_22A_SCDPT1!$G$1045</definedName>
    <definedName name="SCDPT1_124ENDINGG_6.01" localSheetId="0">GMIC_22A_SCDPT1!$H$1045</definedName>
    <definedName name="SCDPT1_124ENDINGG_6.02" localSheetId="0">GMIC_22A_SCDPT1!$I$1045</definedName>
    <definedName name="SCDPT1_124ENDINGG_6.03" localSheetId="0">GMIC_22A_SCDPT1!$J$1045</definedName>
    <definedName name="SCDPT1_124ENDINGG_7" localSheetId="0">GMIC_22A_SCDPT1!$K$1045</definedName>
    <definedName name="SCDPT1_124ENDINGG_8" localSheetId="0">GMIC_22A_SCDPT1!$L$1045</definedName>
    <definedName name="SCDPT1_124ENDINGG_9" localSheetId="0">GMIC_22A_SCDPT1!$M$1045</definedName>
    <definedName name="SCDPT1_1309999999_10" localSheetId="0">GMIC_22A_SCDPT1!$N$1047</definedName>
    <definedName name="SCDPT1_1309999999_11" localSheetId="0">GMIC_22A_SCDPT1!$O$1047</definedName>
    <definedName name="SCDPT1_1309999999_12" localSheetId="0">GMIC_22A_SCDPT1!$P$1047</definedName>
    <definedName name="SCDPT1_1309999999_13" localSheetId="0">GMIC_22A_SCDPT1!$Q$1047</definedName>
    <definedName name="SCDPT1_1309999999_14" localSheetId="0">GMIC_22A_SCDPT1!$R$1047</definedName>
    <definedName name="SCDPT1_1309999999_15" localSheetId="0">GMIC_22A_SCDPT1!$S$1047</definedName>
    <definedName name="SCDPT1_1309999999_19" localSheetId="0">GMIC_22A_SCDPT1!$W$1047</definedName>
    <definedName name="SCDPT1_1309999999_20" localSheetId="0">GMIC_22A_SCDPT1!$X$1047</definedName>
    <definedName name="SCDPT1_1309999999_7" localSheetId="0">GMIC_22A_SCDPT1!$K$1047</definedName>
    <definedName name="SCDPT1_1309999999_9" localSheetId="0">GMIC_22A_SCDPT1!$M$1047</definedName>
    <definedName name="SCDPT1_1410000000_Range" localSheetId="0">GMIC_22A_SCDPT1!$B$1048:$AN$1050</definedName>
    <definedName name="SCDPT1_1419999999_10" localSheetId="0">GMIC_22A_SCDPT1!$N$1051</definedName>
    <definedName name="SCDPT1_1419999999_11" localSheetId="0">GMIC_22A_SCDPT1!$O$1051</definedName>
    <definedName name="SCDPT1_1419999999_12" localSheetId="0">GMIC_22A_SCDPT1!$P$1051</definedName>
    <definedName name="SCDPT1_1419999999_13" localSheetId="0">GMIC_22A_SCDPT1!$Q$1051</definedName>
    <definedName name="SCDPT1_1419999999_14" localSheetId="0">GMIC_22A_SCDPT1!$R$1051</definedName>
    <definedName name="SCDPT1_1419999999_15" localSheetId="0">GMIC_22A_SCDPT1!$S$1051</definedName>
    <definedName name="SCDPT1_1419999999_19" localSheetId="0">GMIC_22A_SCDPT1!$W$1051</definedName>
    <definedName name="SCDPT1_1419999999_20" localSheetId="0">GMIC_22A_SCDPT1!$X$1051</definedName>
    <definedName name="SCDPT1_1419999999_7" localSheetId="0">GMIC_22A_SCDPT1!$K$1051</definedName>
    <definedName name="SCDPT1_1419999999_9" localSheetId="0">GMIC_22A_SCDPT1!$M$1051</definedName>
    <definedName name="SCDPT1_141BEGINNG_1" localSheetId="0">GMIC_22A_SCDPT1!$C$1048</definedName>
    <definedName name="SCDPT1_141BEGINNG_10" localSheetId="0">GMIC_22A_SCDPT1!$N$1048</definedName>
    <definedName name="SCDPT1_141BEGINNG_11" localSheetId="0">GMIC_22A_SCDPT1!$O$1048</definedName>
    <definedName name="SCDPT1_141BEGINNG_12" localSheetId="0">GMIC_22A_SCDPT1!$P$1048</definedName>
    <definedName name="SCDPT1_141BEGINNG_13" localSheetId="0">GMIC_22A_SCDPT1!$Q$1048</definedName>
    <definedName name="SCDPT1_141BEGINNG_14" localSheetId="0">GMIC_22A_SCDPT1!$R$1048</definedName>
    <definedName name="SCDPT1_141BEGINNG_15" localSheetId="0">GMIC_22A_SCDPT1!$S$1048</definedName>
    <definedName name="SCDPT1_141BEGINNG_16" localSheetId="0">GMIC_22A_SCDPT1!$T$1048</definedName>
    <definedName name="SCDPT1_141BEGINNG_17" localSheetId="0">GMIC_22A_SCDPT1!$U$1048</definedName>
    <definedName name="SCDPT1_141BEGINNG_18" localSheetId="0">GMIC_22A_SCDPT1!$V$1048</definedName>
    <definedName name="SCDPT1_141BEGINNG_19" localSheetId="0">GMIC_22A_SCDPT1!$W$1048</definedName>
    <definedName name="SCDPT1_141BEGINNG_2" localSheetId="0">GMIC_22A_SCDPT1!$D$1048</definedName>
    <definedName name="SCDPT1_141BEGINNG_20" localSheetId="0">GMIC_22A_SCDPT1!$X$1048</definedName>
    <definedName name="SCDPT1_141BEGINNG_21" localSheetId="0">GMIC_22A_SCDPT1!$Y$1048</definedName>
    <definedName name="SCDPT1_141BEGINNG_22" localSheetId="0">GMIC_22A_SCDPT1!$Z$1048</definedName>
    <definedName name="SCDPT1_141BEGINNG_23" localSheetId="0">GMIC_22A_SCDPT1!$AA$1048</definedName>
    <definedName name="SCDPT1_141BEGINNG_24" localSheetId="0">GMIC_22A_SCDPT1!$AB$1048</definedName>
    <definedName name="SCDPT1_141BEGINNG_25" localSheetId="0">GMIC_22A_SCDPT1!$AC$1048</definedName>
    <definedName name="SCDPT1_141BEGINNG_26" localSheetId="0">GMIC_22A_SCDPT1!$AD$1048</definedName>
    <definedName name="SCDPT1_141BEGINNG_27" localSheetId="0">GMIC_22A_SCDPT1!$AE$1048</definedName>
    <definedName name="SCDPT1_141BEGINNG_28" localSheetId="0">GMIC_22A_SCDPT1!$AF$1048</definedName>
    <definedName name="SCDPT1_141BEGINNG_29" localSheetId="0">GMIC_22A_SCDPT1!$AG$1048</definedName>
    <definedName name="SCDPT1_141BEGINNG_3" localSheetId="0">GMIC_22A_SCDPT1!$E$1048</definedName>
    <definedName name="SCDPT1_141BEGINNG_30" localSheetId="0">GMIC_22A_SCDPT1!$AH$1048</definedName>
    <definedName name="SCDPT1_141BEGINNG_31" localSheetId="0">GMIC_22A_SCDPT1!$AI$1048</definedName>
    <definedName name="SCDPT1_141BEGINNG_32" localSheetId="0">GMIC_22A_SCDPT1!$AJ$1048</definedName>
    <definedName name="SCDPT1_141BEGINNG_33" localSheetId="0">GMIC_22A_SCDPT1!$AK$1048</definedName>
    <definedName name="SCDPT1_141BEGINNG_34" localSheetId="0">GMIC_22A_SCDPT1!$AL$1048</definedName>
    <definedName name="SCDPT1_141BEGINNG_35" localSheetId="0">GMIC_22A_SCDPT1!$AM$1048</definedName>
    <definedName name="SCDPT1_141BEGINNG_36" localSheetId="0">GMIC_22A_SCDPT1!$AN$1048</definedName>
    <definedName name="SCDPT1_141BEGINNG_4" localSheetId="0">GMIC_22A_SCDPT1!$F$1048</definedName>
    <definedName name="SCDPT1_141BEGINNG_5" localSheetId="0">GMIC_22A_SCDPT1!$G$1048</definedName>
    <definedName name="SCDPT1_141BEGINNG_6.01" localSheetId="0">GMIC_22A_SCDPT1!$H$1048</definedName>
    <definedName name="SCDPT1_141BEGINNG_6.02" localSheetId="0">GMIC_22A_SCDPT1!$I$1048</definedName>
    <definedName name="SCDPT1_141BEGINNG_6.03" localSheetId="0">GMIC_22A_SCDPT1!$J$1048</definedName>
    <definedName name="SCDPT1_141BEGINNG_7" localSheetId="0">GMIC_22A_SCDPT1!$K$1048</definedName>
    <definedName name="SCDPT1_141BEGINNG_8" localSheetId="0">GMIC_22A_SCDPT1!$L$1048</definedName>
    <definedName name="SCDPT1_141BEGINNG_9" localSheetId="0">GMIC_22A_SCDPT1!$M$1048</definedName>
    <definedName name="SCDPT1_141ENDINGG_10" localSheetId="0">GMIC_22A_SCDPT1!$N$1050</definedName>
    <definedName name="SCDPT1_141ENDINGG_11" localSheetId="0">GMIC_22A_SCDPT1!$O$1050</definedName>
    <definedName name="SCDPT1_141ENDINGG_12" localSheetId="0">GMIC_22A_SCDPT1!$P$1050</definedName>
    <definedName name="SCDPT1_141ENDINGG_13" localSheetId="0">GMIC_22A_SCDPT1!$Q$1050</definedName>
    <definedName name="SCDPT1_141ENDINGG_14" localSheetId="0">GMIC_22A_SCDPT1!$R$1050</definedName>
    <definedName name="SCDPT1_141ENDINGG_15" localSheetId="0">GMIC_22A_SCDPT1!$S$1050</definedName>
    <definedName name="SCDPT1_141ENDINGG_16" localSheetId="0">GMIC_22A_SCDPT1!$T$1050</definedName>
    <definedName name="SCDPT1_141ENDINGG_17" localSheetId="0">GMIC_22A_SCDPT1!$U$1050</definedName>
    <definedName name="SCDPT1_141ENDINGG_18" localSheetId="0">GMIC_22A_SCDPT1!$V$1050</definedName>
    <definedName name="SCDPT1_141ENDINGG_19" localSheetId="0">GMIC_22A_SCDPT1!$W$1050</definedName>
    <definedName name="SCDPT1_141ENDINGG_2" localSheetId="0">GMIC_22A_SCDPT1!$D$1050</definedName>
    <definedName name="SCDPT1_141ENDINGG_20" localSheetId="0">GMIC_22A_SCDPT1!$X$1050</definedName>
    <definedName name="SCDPT1_141ENDINGG_21" localSheetId="0">GMIC_22A_SCDPT1!$Y$1050</definedName>
    <definedName name="SCDPT1_141ENDINGG_22" localSheetId="0">GMIC_22A_SCDPT1!$Z$1050</definedName>
    <definedName name="SCDPT1_141ENDINGG_23" localSheetId="0">GMIC_22A_SCDPT1!$AA$1050</definedName>
    <definedName name="SCDPT1_141ENDINGG_24" localSheetId="0">GMIC_22A_SCDPT1!$AB$1050</definedName>
    <definedName name="SCDPT1_141ENDINGG_25" localSheetId="0">GMIC_22A_SCDPT1!$AC$1050</definedName>
    <definedName name="SCDPT1_141ENDINGG_26" localSheetId="0">GMIC_22A_SCDPT1!$AD$1050</definedName>
    <definedName name="SCDPT1_141ENDINGG_27" localSheetId="0">GMIC_22A_SCDPT1!$AE$1050</definedName>
    <definedName name="SCDPT1_141ENDINGG_28" localSheetId="0">GMIC_22A_SCDPT1!$AF$1050</definedName>
    <definedName name="SCDPT1_141ENDINGG_29" localSheetId="0">GMIC_22A_SCDPT1!$AG$1050</definedName>
    <definedName name="SCDPT1_141ENDINGG_3" localSheetId="0">GMIC_22A_SCDPT1!$E$1050</definedName>
    <definedName name="SCDPT1_141ENDINGG_30" localSheetId="0">GMIC_22A_SCDPT1!$AH$1050</definedName>
    <definedName name="SCDPT1_141ENDINGG_31" localSheetId="0">GMIC_22A_SCDPT1!$AI$1050</definedName>
    <definedName name="SCDPT1_141ENDINGG_32" localSheetId="0">GMIC_22A_SCDPT1!$AJ$1050</definedName>
    <definedName name="SCDPT1_141ENDINGG_33" localSheetId="0">GMIC_22A_SCDPT1!$AK$1050</definedName>
    <definedName name="SCDPT1_141ENDINGG_34" localSheetId="0">GMIC_22A_SCDPT1!$AL$1050</definedName>
    <definedName name="SCDPT1_141ENDINGG_35" localSheetId="0">GMIC_22A_SCDPT1!$AM$1050</definedName>
    <definedName name="SCDPT1_141ENDINGG_36" localSheetId="0">GMIC_22A_SCDPT1!$AN$1050</definedName>
    <definedName name="SCDPT1_141ENDINGG_4" localSheetId="0">GMIC_22A_SCDPT1!$F$1050</definedName>
    <definedName name="SCDPT1_141ENDINGG_5" localSheetId="0">GMIC_22A_SCDPT1!$G$1050</definedName>
    <definedName name="SCDPT1_141ENDINGG_6.01" localSheetId="0">GMIC_22A_SCDPT1!$H$1050</definedName>
    <definedName name="SCDPT1_141ENDINGG_6.02" localSheetId="0">GMIC_22A_SCDPT1!$I$1050</definedName>
    <definedName name="SCDPT1_141ENDINGG_6.03" localSheetId="0">GMIC_22A_SCDPT1!$J$1050</definedName>
    <definedName name="SCDPT1_141ENDINGG_7" localSheetId="0">GMIC_22A_SCDPT1!$K$1050</definedName>
    <definedName name="SCDPT1_141ENDINGG_8" localSheetId="0">GMIC_22A_SCDPT1!$L$1050</definedName>
    <definedName name="SCDPT1_141ENDINGG_9" localSheetId="0">GMIC_22A_SCDPT1!$M$1050</definedName>
    <definedName name="SCDPT1_1420000000_Range" localSheetId="0">GMIC_22A_SCDPT1!$B$1052:$AN$1054</definedName>
    <definedName name="SCDPT1_1429999999_10" localSheetId="0">GMIC_22A_SCDPT1!$N$1055</definedName>
    <definedName name="SCDPT1_1429999999_11" localSheetId="0">GMIC_22A_SCDPT1!$O$1055</definedName>
    <definedName name="SCDPT1_1429999999_12" localSheetId="0">GMIC_22A_SCDPT1!$P$1055</definedName>
    <definedName name="SCDPT1_1429999999_13" localSheetId="0">GMIC_22A_SCDPT1!$Q$1055</definedName>
    <definedName name="SCDPT1_1429999999_14" localSheetId="0">GMIC_22A_SCDPT1!$R$1055</definedName>
    <definedName name="SCDPT1_1429999999_15" localSheetId="0">GMIC_22A_SCDPT1!$S$1055</definedName>
    <definedName name="SCDPT1_1429999999_19" localSheetId="0">GMIC_22A_SCDPT1!$W$1055</definedName>
    <definedName name="SCDPT1_1429999999_20" localSheetId="0">GMIC_22A_SCDPT1!$X$1055</definedName>
    <definedName name="SCDPT1_1429999999_7" localSheetId="0">GMIC_22A_SCDPT1!$K$1055</definedName>
    <definedName name="SCDPT1_1429999999_9" localSheetId="0">GMIC_22A_SCDPT1!$M$1055</definedName>
    <definedName name="SCDPT1_142BEGINNG_1" localSheetId="0">GMIC_22A_SCDPT1!$C$1052</definedName>
    <definedName name="SCDPT1_142BEGINNG_10" localSheetId="0">GMIC_22A_SCDPT1!$N$1052</definedName>
    <definedName name="SCDPT1_142BEGINNG_11" localSheetId="0">GMIC_22A_SCDPT1!$O$1052</definedName>
    <definedName name="SCDPT1_142BEGINNG_12" localSheetId="0">GMIC_22A_SCDPT1!$P$1052</definedName>
    <definedName name="SCDPT1_142BEGINNG_13" localSheetId="0">GMIC_22A_SCDPT1!$Q$1052</definedName>
    <definedName name="SCDPT1_142BEGINNG_14" localSheetId="0">GMIC_22A_SCDPT1!$R$1052</definedName>
    <definedName name="SCDPT1_142BEGINNG_15" localSheetId="0">GMIC_22A_SCDPT1!$S$1052</definedName>
    <definedName name="SCDPT1_142BEGINNG_16" localSheetId="0">GMIC_22A_SCDPT1!$T$1052</definedName>
    <definedName name="SCDPT1_142BEGINNG_17" localSheetId="0">GMIC_22A_SCDPT1!$U$1052</definedName>
    <definedName name="SCDPT1_142BEGINNG_18" localSheetId="0">GMIC_22A_SCDPT1!$V$1052</definedName>
    <definedName name="SCDPT1_142BEGINNG_19" localSheetId="0">GMIC_22A_SCDPT1!$W$1052</definedName>
    <definedName name="SCDPT1_142BEGINNG_2" localSheetId="0">GMIC_22A_SCDPT1!$D$1052</definedName>
    <definedName name="SCDPT1_142BEGINNG_20" localSheetId="0">GMIC_22A_SCDPT1!$X$1052</definedName>
    <definedName name="SCDPT1_142BEGINNG_21" localSheetId="0">GMIC_22A_SCDPT1!$Y$1052</definedName>
    <definedName name="SCDPT1_142BEGINNG_22" localSheetId="0">GMIC_22A_SCDPT1!$Z$1052</definedName>
    <definedName name="SCDPT1_142BEGINNG_23" localSheetId="0">GMIC_22A_SCDPT1!$AA$1052</definedName>
    <definedName name="SCDPT1_142BEGINNG_24" localSheetId="0">GMIC_22A_SCDPT1!$AB$1052</definedName>
    <definedName name="SCDPT1_142BEGINNG_25" localSheetId="0">GMIC_22A_SCDPT1!$AC$1052</definedName>
    <definedName name="SCDPT1_142BEGINNG_26" localSheetId="0">GMIC_22A_SCDPT1!$AD$1052</definedName>
    <definedName name="SCDPT1_142BEGINNG_27" localSheetId="0">GMIC_22A_SCDPT1!$AE$1052</definedName>
    <definedName name="SCDPT1_142BEGINNG_28" localSheetId="0">GMIC_22A_SCDPT1!$AF$1052</definedName>
    <definedName name="SCDPT1_142BEGINNG_29" localSheetId="0">GMIC_22A_SCDPT1!$AG$1052</definedName>
    <definedName name="SCDPT1_142BEGINNG_3" localSheetId="0">GMIC_22A_SCDPT1!$E$1052</definedName>
    <definedName name="SCDPT1_142BEGINNG_30" localSheetId="0">GMIC_22A_SCDPT1!$AH$1052</definedName>
    <definedName name="SCDPT1_142BEGINNG_31" localSheetId="0">GMIC_22A_SCDPT1!$AI$1052</definedName>
    <definedName name="SCDPT1_142BEGINNG_32" localSheetId="0">GMIC_22A_SCDPT1!$AJ$1052</definedName>
    <definedName name="SCDPT1_142BEGINNG_33" localSheetId="0">GMIC_22A_SCDPT1!$AK$1052</definedName>
    <definedName name="SCDPT1_142BEGINNG_34" localSheetId="0">GMIC_22A_SCDPT1!$AL$1052</definedName>
    <definedName name="SCDPT1_142BEGINNG_35" localSheetId="0">GMIC_22A_SCDPT1!$AM$1052</definedName>
    <definedName name="SCDPT1_142BEGINNG_36" localSheetId="0">GMIC_22A_SCDPT1!$AN$1052</definedName>
    <definedName name="SCDPT1_142BEGINNG_4" localSheetId="0">GMIC_22A_SCDPT1!$F$1052</definedName>
    <definedName name="SCDPT1_142BEGINNG_5" localSheetId="0">GMIC_22A_SCDPT1!$G$1052</definedName>
    <definedName name="SCDPT1_142BEGINNG_6.01" localSheetId="0">GMIC_22A_SCDPT1!$H$1052</definedName>
    <definedName name="SCDPT1_142BEGINNG_6.02" localSheetId="0">GMIC_22A_SCDPT1!$I$1052</definedName>
    <definedName name="SCDPT1_142BEGINNG_6.03" localSheetId="0">GMIC_22A_SCDPT1!$J$1052</definedName>
    <definedName name="SCDPT1_142BEGINNG_7" localSheetId="0">GMIC_22A_SCDPT1!$K$1052</definedName>
    <definedName name="SCDPT1_142BEGINNG_8" localSheetId="0">GMIC_22A_SCDPT1!$L$1052</definedName>
    <definedName name="SCDPT1_142BEGINNG_9" localSheetId="0">GMIC_22A_SCDPT1!$M$1052</definedName>
    <definedName name="SCDPT1_142ENDINGG_10" localSheetId="0">GMIC_22A_SCDPT1!$N$1054</definedName>
    <definedName name="SCDPT1_142ENDINGG_11" localSheetId="0">GMIC_22A_SCDPT1!$O$1054</definedName>
    <definedName name="SCDPT1_142ENDINGG_12" localSheetId="0">GMIC_22A_SCDPT1!$P$1054</definedName>
    <definedName name="SCDPT1_142ENDINGG_13" localSheetId="0">GMIC_22A_SCDPT1!$Q$1054</definedName>
    <definedName name="SCDPT1_142ENDINGG_14" localSheetId="0">GMIC_22A_SCDPT1!$R$1054</definedName>
    <definedName name="SCDPT1_142ENDINGG_15" localSheetId="0">GMIC_22A_SCDPT1!$S$1054</definedName>
    <definedName name="SCDPT1_142ENDINGG_16" localSheetId="0">GMIC_22A_SCDPT1!$T$1054</definedName>
    <definedName name="SCDPT1_142ENDINGG_17" localSheetId="0">GMIC_22A_SCDPT1!$U$1054</definedName>
    <definedName name="SCDPT1_142ENDINGG_18" localSheetId="0">GMIC_22A_SCDPT1!$V$1054</definedName>
    <definedName name="SCDPT1_142ENDINGG_19" localSheetId="0">GMIC_22A_SCDPT1!$W$1054</definedName>
    <definedName name="SCDPT1_142ENDINGG_2" localSheetId="0">GMIC_22A_SCDPT1!$D$1054</definedName>
    <definedName name="SCDPT1_142ENDINGG_20" localSheetId="0">GMIC_22A_SCDPT1!$X$1054</definedName>
    <definedName name="SCDPT1_142ENDINGG_21" localSheetId="0">GMIC_22A_SCDPT1!$Y$1054</definedName>
    <definedName name="SCDPT1_142ENDINGG_22" localSheetId="0">GMIC_22A_SCDPT1!$Z$1054</definedName>
    <definedName name="SCDPT1_142ENDINGG_23" localSheetId="0">GMIC_22A_SCDPT1!$AA$1054</definedName>
    <definedName name="SCDPT1_142ENDINGG_24" localSheetId="0">GMIC_22A_SCDPT1!$AB$1054</definedName>
    <definedName name="SCDPT1_142ENDINGG_25" localSheetId="0">GMIC_22A_SCDPT1!$AC$1054</definedName>
    <definedName name="SCDPT1_142ENDINGG_26" localSheetId="0">GMIC_22A_SCDPT1!$AD$1054</definedName>
    <definedName name="SCDPT1_142ENDINGG_27" localSheetId="0">GMIC_22A_SCDPT1!$AE$1054</definedName>
    <definedName name="SCDPT1_142ENDINGG_28" localSheetId="0">GMIC_22A_SCDPT1!$AF$1054</definedName>
    <definedName name="SCDPT1_142ENDINGG_29" localSheetId="0">GMIC_22A_SCDPT1!$AG$1054</definedName>
    <definedName name="SCDPT1_142ENDINGG_3" localSheetId="0">GMIC_22A_SCDPT1!$E$1054</definedName>
    <definedName name="SCDPT1_142ENDINGG_30" localSheetId="0">GMIC_22A_SCDPT1!$AH$1054</definedName>
    <definedName name="SCDPT1_142ENDINGG_31" localSheetId="0">GMIC_22A_SCDPT1!$AI$1054</definedName>
    <definedName name="SCDPT1_142ENDINGG_32" localSheetId="0">GMIC_22A_SCDPT1!$AJ$1054</definedName>
    <definedName name="SCDPT1_142ENDINGG_33" localSheetId="0">GMIC_22A_SCDPT1!$AK$1054</definedName>
    <definedName name="SCDPT1_142ENDINGG_34" localSheetId="0">GMIC_22A_SCDPT1!$AL$1054</definedName>
    <definedName name="SCDPT1_142ENDINGG_35" localSheetId="0">GMIC_22A_SCDPT1!$AM$1054</definedName>
    <definedName name="SCDPT1_142ENDINGG_36" localSheetId="0">GMIC_22A_SCDPT1!$AN$1054</definedName>
    <definedName name="SCDPT1_142ENDINGG_4" localSheetId="0">GMIC_22A_SCDPT1!$F$1054</definedName>
    <definedName name="SCDPT1_142ENDINGG_5" localSheetId="0">GMIC_22A_SCDPT1!$G$1054</definedName>
    <definedName name="SCDPT1_142ENDINGG_6.01" localSheetId="0">GMIC_22A_SCDPT1!$H$1054</definedName>
    <definedName name="SCDPT1_142ENDINGG_6.02" localSheetId="0">GMIC_22A_SCDPT1!$I$1054</definedName>
    <definedName name="SCDPT1_142ENDINGG_6.03" localSheetId="0">GMIC_22A_SCDPT1!$J$1054</definedName>
    <definedName name="SCDPT1_142ENDINGG_7" localSheetId="0">GMIC_22A_SCDPT1!$K$1054</definedName>
    <definedName name="SCDPT1_142ENDINGG_8" localSheetId="0">GMIC_22A_SCDPT1!$L$1054</definedName>
    <definedName name="SCDPT1_142ENDINGG_9" localSheetId="0">GMIC_22A_SCDPT1!$M$1054</definedName>
    <definedName name="SCDPT1_1430000000_Range" localSheetId="0">GMIC_22A_SCDPT1!$B$1056:$AN$1058</definedName>
    <definedName name="SCDPT1_1439999999_10" localSheetId="0">GMIC_22A_SCDPT1!$N$1059</definedName>
    <definedName name="SCDPT1_1439999999_11" localSheetId="0">GMIC_22A_SCDPT1!$O$1059</definedName>
    <definedName name="SCDPT1_1439999999_12" localSheetId="0">GMIC_22A_SCDPT1!$P$1059</definedName>
    <definedName name="SCDPT1_1439999999_13" localSheetId="0">GMIC_22A_SCDPT1!$Q$1059</definedName>
    <definedName name="SCDPT1_1439999999_14" localSheetId="0">GMIC_22A_SCDPT1!$R$1059</definedName>
    <definedName name="SCDPT1_1439999999_15" localSheetId="0">GMIC_22A_SCDPT1!$S$1059</definedName>
    <definedName name="SCDPT1_1439999999_19" localSheetId="0">GMIC_22A_SCDPT1!$W$1059</definedName>
    <definedName name="SCDPT1_1439999999_20" localSheetId="0">GMIC_22A_SCDPT1!$X$1059</definedName>
    <definedName name="SCDPT1_1439999999_7" localSheetId="0">GMIC_22A_SCDPT1!$K$1059</definedName>
    <definedName name="SCDPT1_1439999999_9" localSheetId="0">GMIC_22A_SCDPT1!$M$1059</definedName>
    <definedName name="SCDPT1_143BEGINNG_1" localSheetId="0">GMIC_22A_SCDPT1!$C$1056</definedName>
    <definedName name="SCDPT1_143BEGINNG_10" localSheetId="0">GMIC_22A_SCDPT1!$N$1056</definedName>
    <definedName name="SCDPT1_143BEGINNG_11" localSheetId="0">GMIC_22A_SCDPT1!$O$1056</definedName>
    <definedName name="SCDPT1_143BEGINNG_12" localSheetId="0">GMIC_22A_SCDPT1!$P$1056</definedName>
    <definedName name="SCDPT1_143BEGINNG_13" localSheetId="0">GMIC_22A_SCDPT1!$Q$1056</definedName>
    <definedName name="SCDPT1_143BEGINNG_14" localSheetId="0">GMIC_22A_SCDPT1!$R$1056</definedName>
    <definedName name="SCDPT1_143BEGINNG_15" localSheetId="0">GMIC_22A_SCDPT1!$S$1056</definedName>
    <definedName name="SCDPT1_143BEGINNG_16" localSheetId="0">GMIC_22A_SCDPT1!$T$1056</definedName>
    <definedName name="SCDPT1_143BEGINNG_17" localSheetId="0">GMIC_22A_SCDPT1!$U$1056</definedName>
    <definedName name="SCDPT1_143BEGINNG_18" localSheetId="0">GMIC_22A_SCDPT1!$V$1056</definedName>
    <definedName name="SCDPT1_143BEGINNG_19" localSheetId="0">GMIC_22A_SCDPT1!$W$1056</definedName>
    <definedName name="SCDPT1_143BEGINNG_2" localSheetId="0">GMIC_22A_SCDPT1!$D$1056</definedName>
    <definedName name="SCDPT1_143BEGINNG_20" localSheetId="0">GMIC_22A_SCDPT1!$X$1056</definedName>
    <definedName name="SCDPT1_143BEGINNG_21" localSheetId="0">GMIC_22A_SCDPT1!$Y$1056</definedName>
    <definedName name="SCDPT1_143BEGINNG_22" localSheetId="0">GMIC_22A_SCDPT1!$Z$1056</definedName>
    <definedName name="SCDPT1_143BEGINNG_23" localSheetId="0">GMIC_22A_SCDPT1!$AA$1056</definedName>
    <definedName name="SCDPT1_143BEGINNG_24" localSheetId="0">GMIC_22A_SCDPT1!$AB$1056</definedName>
    <definedName name="SCDPT1_143BEGINNG_25" localSheetId="0">GMIC_22A_SCDPT1!$AC$1056</definedName>
    <definedName name="SCDPT1_143BEGINNG_26" localSheetId="0">GMIC_22A_SCDPT1!$AD$1056</definedName>
    <definedName name="SCDPT1_143BEGINNG_27" localSheetId="0">GMIC_22A_SCDPT1!$AE$1056</definedName>
    <definedName name="SCDPT1_143BEGINNG_28" localSheetId="0">GMIC_22A_SCDPT1!$AF$1056</definedName>
    <definedName name="SCDPT1_143BEGINNG_29" localSheetId="0">GMIC_22A_SCDPT1!$AG$1056</definedName>
    <definedName name="SCDPT1_143BEGINNG_3" localSheetId="0">GMIC_22A_SCDPT1!$E$1056</definedName>
    <definedName name="SCDPT1_143BEGINNG_30" localSheetId="0">GMIC_22A_SCDPT1!$AH$1056</definedName>
    <definedName name="SCDPT1_143BEGINNG_31" localSheetId="0">GMIC_22A_SCDPT1!$AI$1056</definedName>
    <definedName name="SCDPT1_143BEGINNG_32" localSheetId="0">GMIC_22A_SCDPT1!$AJ$1056</definedName>
    <definedName name="SCDPT1_143BEGINNG_33" localSheetId="0">GMIC_22A_SCDPT1!$AK$1056</definedName>
    <definedName name="SCDPT1_143BEGINNG_34" localSheetId="0">GMIC_22A_SCDPT1!$AL$1056</definedName>
    <definedName name="SCDPT1_143BEGINNG_35" localSheetId="0">GMIC_22A_SCDPT1!$AM$1056</definedName>
    <definedName name="SCDPT1_143BEGINNG_36" localSheetId="0">GMIC_22A_SCDPT1!$AN$1056</definedName>
    <definedName name="SCDPT1_143BEGINNG_4" localSheetId="0">GMIC_22A_SCDPT1!$F$1056</definedName>
    <definedName name="SCDPT1_143BEGINNG_5" localSheetId="0">GMIC_22A_SCDPT1!$G$1056</definedName>
    <definedName name="SCDPT1_143BEGINNG_6.01" localSheetId="0">GMIC_22A_SCDPT1!$H$1056</definedName>
    <definedName name="SCDPT1_143BEGINNG_6.02" localSheetId="0">GMIC_22A_SCDPT1!$I$1056</definedName>
    <definedName name="SCDPT1_143BEGINNG_6.03" localSheetId="0">GMIC_22A_SCDPT1!$J$1056</definedName>
    <definedName name="SCDPT1_143BEGINNG_7" localSheetId="0">GMIC_22A_SCDPT1!$K$1056</definedName>
    <definedName name="SCDPT1_143BEGINNG_8" localSheetId="0">GMIC_22A_SCDPT1!$L$1056</definedName>
    <definedName name="SCDPT1_143BEGINNG_9" localSheetId="0">GMIC_22A_SCDPT1!$M$1056</definedName>
    <definedName name="SCDPT1_143ENDINGG_10" localSheetId="0">GMIC_22A_SCDPT1!$N$1058</definedName>
    <definedName name="SCDPT1_143ENDINGG_11" localSheetId="0">GMIC_22A_SCDPT1!$O$1058</definedName>
    <definedName name="SCDPT1_143ENDINGG_12" localSheetId="0">GMIC_22A_SCDPT1!$P$1058</definedName>
    <definedName name="SCDPT1_143ENDINGG_13" localSheetId="0">GMIC_22A_SCDPT1!$Q$1058</definedName>
    <definedName name="SCDPT1_143ENDINGG_14" localSheetId="0">GMIC_22A_SCDPT1!$R$1058</definedName>
    <definedName name="SCDPT1_143ENDINGG_15" localSheetId="0">GMIC_22A_SCDPT1!$S$1058</definedName>
    <definedName name="SCDPT1_143ENDINGG_16" localSheetId="0">GMIC_22A_SCDPT1!$T$1058</definedName>
    <definedName name="SCDPT1_143ENDINGG_17" localSheetId="0">GMIC_22A_SCDPT1!$U$1058</definedName>
    <definedName name="SCDPT1_143ENDINGG_18" localSheetId="0">GMIC_22A_SCDPT1!$V$1058</definedName>
    <definedName name="SCDPT1_143ENDINGG_19" localSheetId="0">GMIC_22A_SCDPT1!$W$1058</definedName>
    <definedName name="SCDPT1_143ENDINGG_2" localSheetId="0">GMIC_22A_SCDPT1!$D$1058</definedName>
    <definedName name="SCDPT1_143ENDINGG_20" localSheetId="0">GMIC_22A_SCDPT1!$X$1058</definedName>
    <definedName name="SCDPT1_143ENDINGG_21" localSheetId="0">GMIC_22A_SCDPT1!$Y$1058</definedName>
    <definedName name="SCDPT1_143ENDINGG_22" localSheetId="0">GMIC_22A_SCDPT1!$Z$1058</definedName>
    <definedName name="SCDPT1_143ENDINGG_23" localSheetId="0">GMIC_22A_SCDPT1!$AA$1058</definedName>
    <definedName name="SCDPT1_143ENDINGG_24" localSheetId="0">GMIC_22A_SCDPT1!$AB$1058</definedName>
    <definedName name="SCDPT1_143ENDINGG_25" localSheetId="0">GMIC_22A_SCDPT1!$AC$1058</definedName>
    <definedName name="SCDPT1_143ENDINGG_26" localSheetId="0">GMIC_22A_SCDPT1!$AD$1058</definedName>
    <definedName name="SCDPT1_143ENDINGG_27" localSheetId="0">GMIC_22A_SCDPT1!$AE$1058</definedName>
    <definedName name="SCDPT1_143ENDINGG_28" localSheetId="0">GMIC_22A_SCDPT1!$AF$1058</definedName>
    <definedName name="SCDPT1_143ENDINGG_29" localSheetId="0">GMIC_22A_SCDPT1!$AG$1058</definedName>
    <definedName name="SCDPT1_143ENDINGG_3" localSheetId="0">GMIC_22A_SCDPT1!$E$1058</definedName>
    <definedName name="SCDPT1_143ENDINGG_30" localSheetId="0">GMIC_22A_SCDPT1!$AH$1058</definedName>
    <definedName name="SCDPT1_143ENDINGG_31" localSheetId="0">GMIC_22A_SCDPT1!$AI$1058</definedName>
    <definedName name="SCDPT1_143ENDINGG_32" localSheetId="0">GMIC_22A_SCDPT1!$AJ$1058</definedName>
    <definedName name="SCDPT1_143ENDINGG_33" localSheetId="0">GMIC_22A_SCDPT1!$AK$1058</definedName>
    <definedName name="SCDPT1_143ENDINGG_34" localSheetId="0">GMIC_22A_SCDPT1!$AL$1058</definedName>
    <definedName name="SCDPT1_143ENDINGG_35" localSheetId="0">GMIC_22A_SCDPT1!$AM$1058</definedName>
    <definedName name="SCDPT1_143ENDINGG_36" localSheetId="0">GMIC_22A_SCDPT1!$AN$1058</definedName>
    <definedName name="SCDPT1_143ENDINGG_4" localSheetId="0">GMIC_22A_SCDPT1!$F$1058</definedName>
    <definedName name="SCDPT1_143ENDINGG_5" localSheetId="0">GMIC_22A_SCDPT1!$G$1058</definedName>
    <definedName name="SCDPT1_143ENDINGG_6.01" localSheetId="0">GMIC_22A_SCDPT1!$H$1058</definedName>
    <definedName name="SCDPT1_143ENDINGG_6.02" localSheetId="0">GMIC_22A_SCDPT1!$I$1058</definedName>
    <definedName name="SCDPT1_143ENDINGG_6.03" localSheetId="0">GMIC_22A_SCDPT1!$J$1058</definedName>
    <definedName name="SCDPT1_143ENDINGG_7" localSheetId="0">GMIC_22A_SCDPT1!$K$1058</definedName>
    <definedName name="SCDPT1_143ENDINGG_8" localSheetId="0">GMIC_22A_SCDPT1!$L$1058</definedName>
    <definedName name="SCDPT1_143ENDINGG_9" localSheetId="0">GMIC_22A_SCDPT1!$M$1058</definedName>
    <definedName name="SCDPT1_1440000000_Range" localSheetId="0">GMIC_22A_SCDPT1!$B$1060:$AN$1062</definedName>
    <definedName name="SCDPT1_1449999999_10" localSheetId="0">GMIC_22A_SCDPT1!$N$1063</definedName>
    <definedName name="SCDPT1_1449999999_11" localSheetId="0">GMIC_22A_SCDPT1!$O$1063</definedName>
    <definedName name="SCDPT1_1449999999_12" localSheetId="0">GMIC_22A_SCDPT1!$P$1063</definedName>
    <definedName name="SCDPT1_1449999999_13" localSheetId="0">GMIC_22A_SCDPT1!$Q$1063</definedName>
    <definedName name="SCDPT1_1449999999_14" localSheetId="0">GMIC_22A_SCDPT1!$R$1063</definedName>
    <definedName name="SCDPT1_1449999999_15" localSheetId="0">GMIC_22A_SCDPT1!$S$1063</definedName>
    <definedName name="SCDPT1_1449999999_19" localSheetId="0">GMIC_22A_SCDPT1!$W$1063</definedName>
    <definedName name="SCDPT1_1449999999_20" localSheetId="0">GMIC_22A_SCDPT1!$X$1063</definedName>
    <definedName name="SCDPT1_1449999999_7" localSheetId="0">GMIC_22A_SCDPT1!$K$1063</definedName>
    <definedName name="SCDPT1_1449999999_9" localSheetId="0">GMIC_22A_SCDPT1!$M$1063</definedName>
    <definedName name="SCDPT1_144BEGINNG_1" localSheetId="0">GMIC_22A_SCDPT1!$C$1060</definedName>
    <definedName name="SCDPT1_144BEGINNG_10" localSheetId="0">GMIC_22A_SCDPT1!$N$1060</definedName>
    <definedName name="SCDPT1_144BEGINNG_11" localSheetId="0">GMIC_22A_SCDPT1!$O$1060</definedName>
    <definedName name="SCDPT1_144BEGINNG_12" localSheetId="0">GMIC_22A_SCDPT1!$P$1060</definedName>
    <definedName name="SCDPT1_144BEGINNG_13" localSheetId="0">GMIC_22A_SCDPT1!$Q$1060</definedName>
    <definedName name="SCDPT1_144BEGINNG_14" localSheetId="0">GMIC_22A_SCDPT1!$R$1060</definedName>
    <definedName name="SCDPT1_144BEGINNG_15" localSheetId="0">GMIC_22A_SCDPT1!$S$1060</definedName>
    <definedName name="SCDPT1_144BEGINNG_16" localSheetId="0">GMIC_22A_SCDPT1!$T$1060</definedName>
    <definedName name="SCDPT1_144BEGINNG_17" localSheetId="0">GMIC_22A_SCDPT1!$U$1060</definedName>
    <definedName name="SCDPT1_144BEGINNG_18" localSheetId="0">GMIC_22A_SCDPT1!$V$1060</definedName>
    <definedName name="SCDPT1_144BEGINNG_19" localSheetId="0">GMIC_22A_SCDPT1!$W$1060</definedName>
    <definedName name="SCDPT1_144BEGINNG_2" localSheetId="0">GMIC_22A_SCDPT1!$D$1060</definedName>
    <definedName name="SCDPT1_144BEGINNG_20" localSheetId="0">GMIC_22A_SCDPT1!$X$1060</definedName>
    <definedName name="SCDPT1_144BEGINNG_21" localSheetId="0">GMIC_22A_SCDPT1!$Y$1060</definedName>
    <definedName name="SCDPT1_144BEGINNG_22" localSheetId="0">GMIC_22A_SCDPT1!$Z$1060</definedName>
    <definedName name="SCDPT1_144BEGINNG_23" localSheetId="0">GMIC_22A_SCDPT1!$AA$1060</definedName>
    <definedName name="SCDPT1_144BEGINNG_24" localSheetId="0">GMIC_22A_SCDPT1!$AB$1060</definedName>
    <definedName name="SCDPT1_144BEGINNG_25" localSheetId="0">GMIC_22A_SCDPT1!$AC$1060</definedName>
    <definedName name="SCDPT1_144BEGINNG_26" localSheetId="0">GMIC_22A_SCDPT1!$AD$1060</definedName>
    <definedName name="SCDPT1_144BEGINNG_27" localSheetId="0">GMIC_22A_SCDPT1!$AE$1060</definedName>
    <definedName name="SCDPT1_144BEGINNG_28" localSheetId="0">GMIC_22A_SCDPT1!$AF$1060</definedName>
    <definedName name="SCDPT1_144BEGINNG_29" localSheetId="0">GMIC_22A_SCDPT1!$AG$1060</definedName>
    <definedName name="SCDPT1_144BEGINNG_3" localSheetId="0">GMIC_22A_SCDPT1!$E$1060</definedName>
    <definedName name="SCDPT1_144BEGINNG_30" localSheetId="0">GMIC_22A_SCDPT1!$AH$1060</definedName>
    <definedName name="SCDPT1_144BEGINNG_31" localSheetId="0">GMIC_22A_SCDPT1!$AI$1060</definedName>
    <definedName name="SCDPT1_144BEGINNG_32" localSheetId="0">GMIC_22A_SCDPT1!$AJ$1060</definedName>
    <definedName name="SCDPT1_144BEGINNG_33" localSheetId="0">GMIC_22A_SCDPT1!$AK$1060</definedName>
    <definedName name="SCDPT1_144BEGINNG_34" localSheetId="0">GMIC_22A_SCDPT1!$AL$1060</definedName>
    <definedName name="SCDPT1_144BEGINNG_35" localSheetId="0">GMIC_22A_SCDPT1!$AM$1060</definedName>
    <definedName name="SCDPT1_144BEGINNG_36" localSheetId="0">GMIC_22A_SCDPT1!$AN$1060</definedName>
    <definedName name="SCDPT1_144BEGINNG_4" localSheetId="0">GMIC_22A_SCDPT1!$F$1060</definedName>
    <definedName name="SCDPT1_144BEGINNG_5" localSheetId="0">GMIC_22A_SCDPT1!$G$1060</definedName>
    <definedName name="SCDPT1_144BEGINNG_6.01" localSheetId="0">GMIC_22A_SCDPT1!$H$1060</definedName>
    <definedName name="SCDPT1_144BEGINNG_6.02" localSheetId="0">GMIC_22A_SCDPT1!$I$1060</definedName>
    <definedName name="SCDPT1_144BEGINNG_6.03" localSheetId="0">GMIC_22A_SCDPT1!$J$1060</definedName>
    <definedName name="SCDPT1_144BEGINNG_7" localSheetId="0">GMIC_22A_SCDPT1!$K$1060</definedName>
    <definedName name="SCDPT1_144BEGINNG_8" localSheetId="0">GMIC_22A_SCDPT1!$L$1060</definedName>
    <definedName name="SCDPT1_144BEGINNG_9" localSheetId="0">GMIC_22A_SCDPT1!$M$1060</definedName>
    <definedName name="SCDPT1_144ENDINGG_10" localSheetId="0">GMIC_22A_SCDPT1!$N$1062</definedName>
    <definedName name="SCDPT1_144ENDINGG_11" localSheetId="0">GMIC_22A_SCDPT1!$O$1062</definedName>
    <definedName name="SCDPT1_144ENDINGG_12" localSheetId="0">GMIC_22A_SCDPT1!$P$1062</definedName>
    <definedName name="SCDPT1_144ENDINGG_13" localSheetId="0">GMIC_22A_SCDPT1!$Q$1062</definedName>
    <definedName name="SCDPT1_144ENDINGG_14" localSheetId="0">GMIC_22A_SCDPT1!$R$1062</definedName>
    <definedName name="SCDPT1_144ENDINGG_15" localSheetId="0">GMIC_22A_SCDPT1!$S$1062</definedName>
    <definedName name="SCDPT1_144ENDINGG_16" localSheetId="0">GMIC_22A_SCDPT1!$T$1062</definedName>
    <definedName name="SCDPT1_144ENDINGG_17" localSheetId="0">GMIC_22A_SCDPT1!$U$1062</definedName>
    <definedName name="SCDPT1_144ENDINGG_18" localSheetId="0">GMIC_22A_SCDPT1!$V$1062</definedName>
    <definedName name="SCDPT1_144ENDINGG_19" localSheetId="0">GMIC_22A_SCDPT1!$W$1062</definedName>
    <definedName name="SCDPT1_144ENDINGG_2" localSheetId="0">GMIC_22A_SCDPT1!$D$1062</definedName>
    <definedName name="SCDPT1_144ENDINGG_20" localSheetId="0">GMIC_22A_SCDPT1!$X$1062</definedName>
    <definedName name="SCDPT1_144ENDINGG_21" localSheetId="0">GMIC_22A_SCDPT1!$Y$1062</definedName>
    <definedName name="SCDPT1_144ENDINGG_22" localSheetId="0">GMIC_22A_SCDPT1!$Z$1062</definedName>
    <definedName name="SCDPT1_144ENDINGG_23" localSheetId="0">GMIC_22A_SCDPT1!$AA$1062</definedName>
    <definedName name="SCDPT1_144ENDINGG_24" localSheetId="0">GMIC_22A_SCDPT1!$AB$1062</definedName>
    <definedName name="SCDPT1_144ENDINGG_25" localSheetId="0">GMIC_22A_SCDPT1!$AC$1062</definedName>
    <definedName name="SCDPT1_144ENDINGG_26" localSheetId="0">GMIC_22A_SCDPT1!$AD$1062</definedName>
    <definedName name="SCDPT1_144ENDINGG_27" localSheetId="0">GMIC_22A_SCDPT1!$AE$1062</definedName>
    <definedName name="SCDPT1_144ENDINGG_28" localSheetId="0">GMIC_22A_SCDPT1!$AF$1062</definedName>
    <definedName name="SCDPT1_144ENDINGG_29" localSheetId="0">GMIC_22A_SCDPT1!$AG$1062</definedName>
    <definedName name="SCDPT1_144ENDINGG_3" localSheetId="0">GMIC_22A_SCDPT1!$E$1062</definedName>
    <definedName name="SCDPT1_144ENDINGG_30" localSheetId="0">GMIC_22A_SCDPT1!$AH$1062</definedName>
    <definedName name="SCDPT1_144ENDINGG_31" localSheetId="0">GMIC_22A_SCDPT1!$AI$1062</definedName>
    <definedName name="SCDPT1_144ENDINGG_32" localSheetId="0">GMIC_22A_SCDPT1!$AJ$1062</definedName>
    <definedName name="SCDPT1_144ENDINGG_33" localSheetId="0">GMIC_22A_SCDPT1!$AK$1062</definedName>
    <definedName name="SCDPT1_144ENDINGG_34" localSheetId="0">GMIC_22A_SCDPT1!$AL$1062</definedName>
    <definedName name="SCDPT1_144ENDINGG_35" localSheetId="0">GMIC_22A_SCDPT1!$AM$1062</definedName>
    <definedName name="SCDPT1_144ENDINGG_36" localSheetId="0">GMIC_22A_SCDPT1!$AN$1062</definedName>
    <definedName name="SCDPT1_144ENDINGG_4" localSheetId="0">GMIC_22A_SCDPT1!$F$1062</definedName>
    <definedName name="SCDPT1_144ENDINGG_5" localSheetId="0">GMIC_22A_SCDPT1!$G$1062</definedName>
    <definedName name="SCDPT1_144ENDINGG_6.01" localSheetId="0">GMIC_22A_SCDPT1!$H$1062</definedName>
    <definedName name="SCDPT1_144ENDINGG_6.02" localSheetId="0">GMIC_22A_SCDPT1!$I$1062</definedName>
    <definedName name="SCDPT1_144ENDINGG_6.03" localSheetId="0">GMIC_22A_SCDPT1!$J$1062</definedName>
    <definedName name="SCDPT1_144ENDINGG_7" localSheetId="0">GMIC_22A_SCDPT1!$K$1062</definedName>
    <definedName name="SCDPT1_144ENDINGG_8" localSheetId="0">GMIC_22A_SCDPT1!$L$1062</definedName>
    <definedName name="SCDPT1_144ENDINGG_9" localSheetId="0">GMIC_22A_SCDPT1!$M$1062</definedName>
    <definedName name="SCDPT1_1450000000_Range" localSheetId="0">GMIC_22A_SCDPT1!$B$1064:$AN$1066</definedName>
    <definedName name="SCDPT1_1459999999_10" localSheetId="0">GMIC_22A_SCDPT1!$N$1067</definedName>
    <definedName name="SCDPT1_1459999999_11" localSheetId="0">GMIC_22A_SCDPT1!$O$1067</definedName>
    <definedName name="SCDPT1_1459999999_12" localSheetId="0">GMIC_22A_SCDPT1!$P$1067</definedName>
    <definedName name="SCDPT1_1459999999_13" localSheetId="0">GMIC_22A_SCDPT1!$Q$1067</definedName>
    <definedName name="SCDPT1_1459999999_14" localSheetId="0">GMIC_22A_SCDPT1!$R$1067</definedName>
    <definedName name="SCDPT1_1459999999_15" localSheetId="0">GMIC_22A_SCDPT1!$S$1067</definedName>
    <definedName name="SCDPT1_1459999999_19" localSheetId="0">GMIC_22A_SCDPT1!$W$1067</definedName>
    <definedName name="SCDPT1_1459999999_20" localSheetId="0">GMIC_22A_SCDPT1!$X$1067</definedName>
    <definedName name="SCDPT1_1459999999_7" localSheetId="0">GMIC_22A_SCDPT1!$K$1067</definedName>
    <definedName name="SCDPT1_1459999999_9" localSheetId="0">GMIC_22A_SCDPT1!$M$1067</definedName>
    <definedName name="SCDPT1_145BEGINNG_1" localSheetId="0">GMIC_22A_SCDPT1!$C$1064</definedName>
    <definedName name="SCDPT1_145BEGINNG_10" localSheetId="0">GMIC_22A_SCDPT1!$N$1064</definedName>
    <definedName name="SCDPT1_145BEGINNG_11" localSheetId="0">GMIC_22A_SCDPT1!$O$1064</definedName>
    <definedName name="SCDPT1_145BEGINNG_12" localSheetId="0">GMIC_22A_SCDPT1!$P$1064</definedName>
    <definedName name="SCDPT1_145BEGINNG_13" localSheetId="0">GMIC_22A_SCDPT1!$Q$1064</definedName>
    <definedName name="SCDPT1_145BEGINNG_14" localSheetId="0">GMIC_22A_SCDPT1!$R$1064</definedName>
    <definedName name="SCDPT1_145BEGINNG_15" localSheetId="0">GMIC_22A_SCDPT1!$S$1064</definedName>
    <definedName name="SCDPT1_145BEGINNG_16" localSheetId="0">GMIC_22A_SCDPT1!$T$1064</definedName>
    <definedName name="SCDPT1_145BEGINNG_17" localSheetId="0">GMIC_22A_SCDPT1!$U$1064</definedName>
    <definedName name="SCDPT1_145BEGINNG_18" localSheetId="0">GMIC_22A_SCDPT1!$V$1064</definedName>
    <definedName name="SCDPT1_145BEGINNG_19" localSheetId="0">GMIC_22A_SCDPT1!$W$1064</definedName>
    <definedName name="SCDPT1_145BEGINNG_2" localSheetId="0">GMIC_22A_SCDPT1!$D$1064</definedName>
    <definedName name="SCDPT1_145BEGINNG_20" localSheetId="0">GMIC_22A_SCDPT1!$X$1064</definedName>
    <definedName name="SCDPT1_145BEGINNG_21" localSheetId="0">GMIC_22A_SCDPT1!$Y$1064</definedName>
    <definedName name="SCDPT1_145BEGINNG_22" localSheetId="0">GMIC_22A_SCDPT1!$Z$1064</definedName>
    <definedName name="SCDPT1_145BEGINNG_23" localSheetId="0">GMIC_22A_SCDPT1!$AA$1064</definedName>
    <definedName name="SCDPT1_145BEGINNG_24" localSheetId="0">GMIC_22A_SCDPT1!$AB$1064</definedName>
    <definedName name="SCDPT1_145BEGINNG_25" localSheetId="0">GMIC_22A_SCDPT1!$AC$1064</definedName>
    <definedName name="SCDPT1_145BEGINNG_26" localSheetId="0">GMIC_22A_SCDPT1!$AD$1064</definedName>
    <definedName name="SCDPT1_145BEGINNG_27" localSheetId="0">GMIC_22A_SCDPT1!$AE$1064</definedName>
    <definedName name="SCDPT1_145BEGINNG_28" localSheetId="0">GMIC_22A_SCDPT1!$AF$1064</definedName>
    <definedName name="SCDPT1_145BEGINNG_29" localSheetId="0">GMIC_22A_SCDPT1!$AG$1064</definedName>
    <definedName name="SCDPT1_145BEGINNG_3" localSheetId="0">GMIC_22A_SCDPT1!$E$1064</definedName>
    <definedName name="SCDPT1_145BEGINNG_30" localSheetId="0">GMIC_22A_SCDPT1!$AH$1064</definedName>
    <definedName name="SCDPT1_145BEGINNG_31" localSheetId="0">GMIC_22A_SCDPT1!$AI$1064</definedName>
    <definedName name="SCDPT1_145BEGINNG_32" localSheetId="0">GMIC_22A_SCDPT1!$AJ$1064</definedName>
    <definedName name="SCDPT1_145BEGINNG_33" localSheetId="0">GMIC_22A_SCDPT1!$AK$1064</definedName>
    <definedName name="SCDPT1_145BEGINNG_34" localSheetId="0">GMIC_22A_SCDPT1!$AL$1064</definedName>
    <definedName name="SCDPT1_145BEGINNG_35" localSheetId="0">GMIC_22A_SCDPT1!$AM$1064</definedName>
    <definedName name="SCDPT1_145BEGINNG_36" localSheetId="0">GMIC_22A_SCDPT1!$AN$1064</definedName>
    <definedName name="SCDPT1_145BEGINNG_4" localSheetId="0">GMIC_22A_SCDPT1!$F$1064</definedName>
    <definedName name="SCDPT1_145BEGINNG_5" localSheetId="0">GMIC_22A_SCDPT1!$G$1064</definedName>
    <definedName name="SCDPT1_145BEGINNG_6.01" localSheetId="0">GMIC_22A_SCDPT1!$H$1064</definedName>
    <definedName name="SCDPT1_145BEGINNG_6.02" localSheetId="0">GMIC_22A_SCDPT1!$I$1064</definedName>
    <definedName name="SCDPT1_145BEGINNG_6.03" localSheetId="0">GMIC_22A_SCDPT1!$J$1064</definedName>
    <definedName name="SCDPT1_145BEGINNG_7" localSheetId="0">GMIC_22A_SCDPT1!$K$1064</definedName>
    <definedName name="SCDPT1_145BEGINNG_8" localSheetId="0">GMIC_22A_SCDPT1!$L$1064</definedName>
    <definedName name="SCDPT1_145BEGINNG_9" localSheetId="0">GMIC_22A_SCDPT1!$M$1064</definedName>
    <definedName name="SCDPT1_145ENDINGG_10" localSheetId="0">GMIC_22A_SCDPT1!$N$1066</definedName>
    <definedName name="SCDPT1_145ENDINGG_11" localSheetId="0">GMIC_22A_SCDPT1!$O$1066</definedName>
    <definedName name="SCDPT1_145ENDINGG_12" localSheetId="0">GMIC_22A_SCDPT1!$P$1066</definedName>
    <definedName name="SCDPT1_145ENDINGG_13" localSheetId="0">GMIC_22A_SCDPT1!$Q$1066</definedName>
    <definedName name="SCDPT1_145ENDINGG_14" localSheetId="0">GMIC_22A_SCDPT1!$R$1066</definedName>
    <definedName name="SCDPT1_145ENDINGG_15" localSheetId="0">GMIC_22A_SCDPT1!$S$1066</definedName>
    <definedName name="SCDPT1_145ENDINGG_16" localSheetId="0">GMIC_22A_SCDPT1!$T$1066</definedName>
    <definedName name="SCDPT1_145ENDINGG_17" localSheetId="0">GMIC_22A_SCDPT1!$U$1066</definedName>
    <definedName name="SCDPT1_145ENDINGG_18" localSheetId="0">GMIC_22A_SCDPT1!$V$1066</definedName>
    <definedName name="SCDPT1_145ENDINGG_19" localSheetId="0">GMIC_22A_SCDPT1!$W$1066</definedName>
    <definedName name="SCDPT1_145ENDINGG_2" localSheetId="0">GMIC_22A_SCDPT1!$D$1066</definedName>
    <definedName name="SCDPT1_145ENDINGG_20" localSheetId="0">GMIC_22A_SCDPT1!$X$1066</definedName>
    <definedName name="SCDPT1_145ENDINGG_21" localSheetId="0">GMIC_22A_SCDPT1!$Y$1066</definedName>
    <definedName name="SCDPT1_145ENDINGG_22" localSheetId="0">GMIC_22A_SCDPT1!$Z$1066</definedName>
    <definedName name="SCDPT1_145ENDINGG_23" localSheetId="0">GMIC_22A_SCDPT1!$AA$1066</definedName>
    <definedName name="SCDPT1_145ENDINGG_24" localSheetId="0">GMIC_22A_SCDPT1!$AB$1066</definedName>
    <definedName name="SCDPT1_145ENDINGG_25" localSheetId="0">GMIC_22A_SCDPT1!$AC$1066</definedName>
    <definedName name="SCDPT1_145ENDINGG_26" localSheetId="0">GMIC_22A_SCDPT1!$AD$1066</definedName>
    <definedName name="SCDPT1_145ENDINGG_27" localSheetId="0">GMIC_22A_SCDPT1!$AE$1066</definedName>
    <definedName name="SCDPT1_145ENDINGG_28" localSheetId="0">GMIC_22A_SCDPT1!$AF$1066</definedName>
    <definedName name="SCDPT1_145ENDINGG_29" localSheetId="0">GMIC_22A_SCDPT1!$AG$1066</definedName>
    <definedName name="SCDPT1_145ENDINGG_3" localSheetId="0">GMIC_22A_SCDPT1!$E$1066</definedName>
    <definedName name="SCDPT1_145ENDINGG_30" localSheetId="0">GMIC_22A_SCDPT1!$AH$1066</definedName>
    <definedName name="SCDPT1_145ENDINGG_31" localSheetId="0">GMIC_22A_SCDPT1!$AI$1066</definedName>
    <definedName name="SCDPT1_145ENDINGG_32" localSheetId="0">GMIC_22A_SCDPT1!$AJ$1066</definedName>
    <definedName name="SCDPT1_145ENDINGG_33" localSheetId="0">GMIC_22A_SCDPT1!$AK$1066</definedName>
    <definedName name="SCDPT1_145ENDINGG_34" localSheetId="0">GMIC_22A_SCDPT1!$AL$1066</definedName>
    <definedName name="SCDPT1_145ENDINGG_35" localSheetId="0">GMIC_22A_SCDPT1!$AM$1066</definedName>
    <definedName name="SCDPT1_145ENDINGG_36" localSheetId="0">GMIC_22A_SCDPT1!$AN$1066</definedName>
    <definedName name="SCDPT1_145ENDINGG_4" localSheetId="0">GMIC_22A_SCDPT1!$F$1066</definedName>
    <definedName name="SCDPT1_145ENDINGG_5" localSheetId="0">GMIC_22A_SCDPT1!$G$1066</definedName>
    <definedName name="SCDPT1_145ENDINGG_6.01" localSheetId="0">GMIC_22A_SCDPT1!$H$1066</definedName>
    <definedName name="SCDPT1_145ENDINGG_6.02" localSheetId="0">GMIC_22A_SCDPT1!$I$1066</definedName>
    <definedName name="SCDPT1_145ENDINGG_6.03" localSheetId="0">GMIC_22A_SCDPT1!$J$1066</definedName>
    <definedName name="SCDPT1_145ENDINGG_7" localSheetId="0">GMIC_22A_SCDPT1!$K$1066</definedName>
    <definedName name="SCDPT1_145ENDINGG_8" localSheetId="0">GMIC_22A_SCDPT1!$L$1066</definedName>
    <definedName name="SCDPT1_145ENDINGG_9" localSheetId="0">GMIC_22A_SCDPT1!$M$1066</definedName>
    <definedName name="SCDPT1_1460000000_Range" localSheetId="0">GMIC_22A_SCDPT1!$B$1068:$AN$1070</definedName>
    <definedName name="SCDPT1_1469999999_10" localSheetId="0">GMIC_22A_SCDPT1!$N$1071</definedName>
    <definedName name="SCDPT1_1469999999_11" localSheetId="0">GMIC_22A_SCDPT1!$O$1071</definedName>
    <definedName name="SCDPT1_1469999999_12" localSheetId="0">GMIC_22A_SCDPT1!$P$1071</definedName>
    <definedName name="SCDPT1_1469999999_13" localSheetId="0">GMIC_22A_SCDPT1!$Q$1071</definedName>
    <definedName name="SCDPT1_1469999999_14" localSheetId="0">GMIC_22A_SCDPT1!$R$1071</definedName>
    <definedName name="SCDPT1_1469999999_15" localSheetId="0">GMIC_22A_SCDPT1!$S$1071</definedName>
    <definedName name="SCDPT1_1469999999_19" localSheetId="0">GMIC_22A_SCDPT1!$W$1071</definedName>
    <definedName name="SCDPT1_1469999999_20" localSheetId="0">GMIC_22A_SCDPT1!$X$1071</definedName>
    <definedName name="SCDPT1_1469999999_7" localSheetId="0">GMIC_22A_SCDPT1!$K$1071</definedName>
    <definedName name="SCDPT1_1469999999_9" localSheetId="0">GMIC_22A_SCDPT1!$M$1071</definedName>
    <definedName name="SCDPT1_146BEGINNG_1" localSheetId="0">GMIC_22A_SCDPT1!$C$1068</definedName>
    <definedName name="SCDPT1_146BEGINNG_10" localSheetId="0">GMIC_22A_SCDPT1!$N$1068</definedName>
    <definedName name="SCDPT1_146BEGINNG_11" localSheetId="0">GMIC_22A_SCDPT1!$O$1068</definedName>
    <definedName name="SCDPT1_146BEGINNG_12" localSheetId="0">GMIC_22A_SCDPT1!$P$1068</definedName>
    <definedName name="SCDPT1_146BEGINNG_13" localSheetId="0">GMIC_22A_SCDPT1!$Q$1068</definedName>
    <definedName name="SCDPT1_146BEGINNG_14" localSheetId="0">GMIC_22A_SCDPT1!$R$1068</definedName>
    <definedName name="SCDPT1_146BEGINNG_15" localSheetId="0">GMIC_22A_SCDPT1!$S$1068</definedName>
    <definedName name="SCDPT1_146BEGINNG_16" localSheetId="0">GMIC_22A_SCDPT1!$T$1068</definedName>
    <definedName name="SCDPT1_146BEGINNG_17" localSheetId="0">GMIC_22A_SCDPT1!$U$1068</definedName>
    <definedName name="SCDPT1_146BEGINNG_18" localSheetId="0">GMIC_22A_SCDPT1!$V$1068</definedName>
    <definedName name="SCDPT1_146BEGINNG_19" localSheetId="0">GMIC_22A_SCDPT1!$W$1068</definedName>
    <definedName name="SCDPT1_146BEGINNG_2" localSheetId="0">GMIC_22A_SCDPT1!$D$1068</definedName>
    <definedName name="SCDPT1_146BEGINNG_20" localSheetId="0">GMIC_22A_SCDPT1!$X$1068</definedName>
    <definedName name="SCDPT1_146BEGINNG_21" localSheetId="0">GMIC_22A_SCDPT1!$Y$1068</definedName>
    <definedName name="SCDPT1_146BEGINNG_22" localSheetId="0">GMIC_22A_SCDPT1!$Z$1068</definedName>
    <definedName name="SCDPT1_146BEGINNG_23" localSheetId="0">GMIC_22A_SCDPT1!$AA$1068</definedName>
    <definedName name="SCDPT1_146BEGINNG_24" localSheetId="0">GMIC_22A_SCDPT1!$AB$1068</definedName>
    <definedName name="SCDPT1_146BEGINNG_25" localSheetId="0">GMIC_22A_SCDPT1!$AC$1068</definedName>
    <definedName name="SCDPT1_146BEGINNG_26" localSheetId="0">GMIC_22A_SCDPT1!$AD$1068</definedName>
    <definedName name="SCDPT1_146BEGINNG_27" localSheetId="0">GMIC_22A_SCDPT1!$AE$1068</definedName>
    <definedName name="SCDPT1_146BEGINNG_28" localSheetId="0">GMIC_22A_SCDPT1!$AF$1068</definedName>
    <definedName name="SCDPT1_146BEGINNG_29" localSheetId="0">GMIC_22A_SCDPT1!$AG$1068</definedName>
    <definedName name="SCDPT1_146BEGINNG_3" localSheetId="0">GMIC_22A_SCDPT1!$E$1068</definedName>
    <definedName name="SCDPT1_146BEGINNG_30" localSheetId="0">GMIC_22A_SCDPT1!$AH$1068</definedName>
    <definedName name="SCDPT1_146BEGINNG_31" localSheetId="0">GMIC_22A_SCDPT1!$AI$1068</definedName>
    <definedName name="SCDPT1_146BEGINNG_32" localSheetId="0">GMIC_22A_SCDPT1!$AJ$1068</definedName>
    <definedName name="SCDPT1_146BEGINNG_33" localSheetId="0">GMIC_22A_SCDPT1!$AK$1068</definedName>
    <definedName name="SCDPT1_146BEGINNG_34" localSheetId="0">GMIC_22A_SCDPT1!$AL$1068</definedName>
    <definedName name="SCDPT1_146BEGINNG_35" localSheetId="0">GMIC_22A_SCDPT1!$AM$1068</definedName>
    <definedName name="SCDPT1_146BEGINNG_36" localSheetId="0">GMIC_22A_SCDPT1!$AN$1068</definedName>
    <definedName name="SCDPT1_146BEGINNG_4" localSheetId="0">GMIC_22A_SCDPT1!$F$1068</definedName>
    <definedName name="SCDPT1_146BEGINNG_5" localSheetId="0">GMIC_22A_SCDPT1!$G$1068</definedName>
    <definedName name="SCDPT1_146BEGINNG_6.01" localSheetId="0">GMIC_22A_SCDPT1!$H$1068</definedName>
    <definedName name="SCDPT1_146BEGINNG_6.02" localSheetId="0">GMIC_22A_SCDPT1!$I$1068</definedName>
    <definedName name="SCDPT1_146BEGINNG_6.03" localSheetId="0">GMIC_22A_SCDPT1!$J$1068</definedName>
    <definedName name="SCDPT1_146BEGINNG_7" localSheetId="0">GMIC_22A_SCDPT1!$K$1068</definedName>
    <definedName name="SCDPT1_146BEGINNG_8" localSheetId="0">GMIC_22A_SCDPT1!$L$1068</definedName>
    <definedName name="SCDPT1_146BEGINNG_9" localSheetId="0">GMIC_22A_SCDPT1!$M$1068</definedName>
    <definedName name="SCDPT1_146ENDINGG_10" localSheetId="0">GMIC_22A_SCDPT1!$N$1070</definedName>
    <definedName name="SCDPT1_146ENDINGG_11" localSheetId="0">GMIC_22A_SCDPT1!$O$1070</definedName>
    <definedName name="SCDPT1_146ENDINGG_12" localSheetId="0">GMIC_22A_SCDPT1!$P$1070</definedName>
    <definedName name="SCDPT1_146ENDINGG_13" localSheetId="0">GMIC_22A_SCDPT1!$Q$1070</definedName>
    <definedName name="SCDPT1_146ENDINGG_14" localSheetId="0">GMIC_22A_SCDPT1!$R$1070</definedName>
    <definedName name="SCDPT1_146ENDINGG_15" localSheetId="0">GMIC_22A_SCDPT1!$S$1070</definedName>
    <definedName name="SCDPT1_146ENDINGG_16" localSheetId="0">GMIC_22A_SCDPT1!$T$1070</definedName>
    <definedName name="SCDPT1_146ENDINGG_17" localSheetId="0">GMIC_22A_SCDPT1!$U$1070</definedName>
    <definedName name="SCDPT1_146ENDINGG_18" localSheetId="0">GMIC_22A_SCDPT1!$V$1070</definedName>
    <definedName name="SCDPT1_146ENDINGG_19" localSheetId="0">GMIC_22A_SCDPT1!$W$1070</definedName>
    <definedName name="SCDPT1_146ENDINGG_2" localSheetId="0">GMIC_22A_SCDPT1!$D$1070</definedName>
    <definedName name="SCDPT1_146ENDINGG_20" localSheetId="0">GMIC_22A_SCDPT1!$X$1070</definedName>
    <definedName name="SCDPT1_146ENDINGG_21" localSheetId="0">GMIC_22A_SCDPT1!$Y$1070</definedName>
    <definedName name="SCDPT1_146ENDINGG_22" localSheetId="0">GMIC_22A_SCDPT1!$Z$1070</definedName>
    <definedName name="SCDPT1_146ENDINGG_23" localSheetId="0">GMIC_22A_SCDPT1!$AA$1070</definedName>
    <definedName name="SCDPT1_146ENDINGG_24" localSheetId="0">GMIC_22A_SCDPT1!$AB$1070</definedName>
    <definedName name="SCDPT1_146ENDINGG_25" localSheetId="0">GMIC_22A_SCDPT1!$AC$1070</definedName>
    <definedName name="SCDPT1_146ENDINGG_26" localSheetId="0">GMIC_22A_SCDPT1!$AD$1070</definedName>
    <definedName name="SCDPT1_146ENDINGG_27" localSheetId="0">GMIC_22A_SCDPT1!$AE$1070</definedName>
    <definedName name="SCDPT1_146ENDINGG_28" localSheetId="0">GMIC_22A_SCDPT1!$AF$1070</definedName>
    <definedName name="SCDPT1_146ENDINGG_29" localSheetId="0">GMIC_22A_SCDPT1!$AG$1070</definedName>
    <definedName name="SCDPT1_146ENDINGG_3" localSheetId="0">GMIC_22A_SCDPT1!$E$1070</definedName>
    <definedName name="SCDPT1_146ENDINGG_30" localSheetId="0">GMIC_22A_SCDPT1!$AH$1070</definedName>
    <definedName name="SCDPT1_146ENDINGG_31" localSheetId="0">GMIC_22A_SCDPT1!$AI$1070</definedName>
    <definedName name="SCDPT1_146ENDINGG_32" localSheetId="0">GMIC_22A_SCDPT1!$AJ$1070</definedName>
    <definedName name="SCDPT1_146ENDINGG_33" localSheetId="0">GMIC_22A_SCDPT1!$AK$1070</definedName>
    <definedName name="SCDPT1_146ENDINGG_34" localSheetId="0">GMIC_22A_SCDPT1!$AL$1070</definedName>
    <definedName name="SCDPT1_146ENDINGG_35" localSheetId="0">GMIC_22A_SCDPT1!$AM$1070</definedName>
    <definedName name="SCDPT1_146ENDINGG_36" localSheetId="0">GMIC_22A_SCDPT1!$AN$1070</definedName>
    <definedName name="SCDPT1_146ENDINGG_4" localSheetId="0">GMIC_22A_SCDPT1!$F$1070</definedName>
    <definedName name="SCDPT1_146ENDINGG_5" localSheetId="0">GMIC_22A_SCDPT1!$G$1070</definedName>
    <definedName name="SCDPT1_146ENDINGG_6.01" localSheetId="0">GMIC_22A_SCDPT1!$H$1070</definedName>
    <definedName name="SCDPT1_146ENDINGG_6.02" localSheetId="0">GMIC_22A_SCDPT1!$I$1070</definedName>
    <definedName name="SCDPT1_146ENDINGG_6.03" localSheetId="0">GMIC_22A_SCDPT1!$J$1070</definedName>
    <definedName name="SCDPT1_146ENDINGG_7" localSheetId="0">GMIC_22A_SCDPT1!$K$1070</definedName>
    <definedName name="SCDPT1_146ENDINGG_8" localSheetId="0">GMIC_22A_SCDPT1!$L$1070</definedName>
    <definedName name="SCDPT1_146ENDINGG_9" localSheetId="0">GMIC_22A_SCDPT1!$M$1070</definedName>
    <definedName name="SCDPT1_1509999999_10" localSheetId="0">GMIC_22A_SCDPT1!$N$1072</definedName>
    <definedName name="SCDPT1_1509999999_11" localSheetId="0">GMIC_22A_SCDPT1!$O$1072</definedName>
    <definedName name="SCDPT1_1509999999_12" localSheetId="0">GMIC_22A_SCDPT1!$P$1072</definedName>
    <definedName name="SCDPT1_1509999999_13" localSheetId="0">GMIC_22A_SCDPT1!$Q$1072</definedName>
    <definedName name="SCDPT1_1509999999_14" localSheetId="0">GMIC_22A_SCDPT1!$R$1072</definedName>
    <definedName name="SCDPT1_1509999999_15" localSheetId="0">GMIC_22A_SCDPT1!$S$1072</definedName>
    <definedName name="SCDPT1_1509999999_19" localSheetId="0">GMIC_22A_SCDPT1!$W$1072</definedName>
    <definedName name="SCDPT1_1509999999_20" localSheetId="0">GMIC_22A_SCDPT1!$X$1072</definedName>
    <definedName name="SCDPT1_1509999999_7" localSheetId="0">GMIC_22A_SCDPT1!$K$1072</definedName>
    <definedName name="SCDPT1_1509999999_9" localSheetId="0">GMIC_22A_SCDPT1!$M$1072</definedName>
    <definedName name="SCDPT1_1610000000_Range" localSheetId="0">GMIC_22A_SCDPT1!$B$1073:$AN$1075</definedName>
    <definedName name="SCDPT1_1619999999_10" localSheetId="0">GMIC_22A_SCDPT1!$N$1076</definedName>
    <definedName name="SCDPT1_1619999999_11" localSheetId="0">GMIC_22A_SCDPT1!$O$1076</definedName>
    <definedName name="SCDPT1_1619999999_12" localSheetId="0">GMIC_22A_SCDPT1!$P$1076</definedName>
    <definedName name="SCDPT1_1619999999_13" localSheetId="0">GMIC_22A_SCDPT1!$Q$1076</definedName>
    <definedName name="SCDPT1_1619999999_14" localSheetId="0">GMIC_22A_SCDPT1!$R$1076</definedName>
    <definedName name="SCDPT1_1619999999_15" localSheetId="0">GMIC_22A_SCDPT1!$S$1076</definedName>
    <definedName name="SCDPT1_1619999999_19" localSheetId="0">GMIC_22A_SCDPT1!$W$1076</definedName>
    <definedName name="SCDPT1_1619999999_20" localSheetId="0">GMIC_22A_SCDPT1!$X$1076</definedName>
    <definedName name="SCDPT1_1619999999_7" localSheetId="0">GMIC_22A_SCDPT1!$K$1076</definedName>
    <definedName name="SCDPT1_1619999999_9" localSheetId="0">GMIC_22A_SCDPT1!$M$1076</definedName>
    <definedName name="SCDPT1_161BEGINNG_1" localSheetId="0">GMIC_22A_SCDPT1!$C$1073</definedName>
    <definedName name="SCDPT1_161BEGINNG_10" localSheetId="0">GMIC_22A_SCDPT1!$N$1073</definedName>
    <definedName name="SCDPT1_161BEGINNG_11" localSheetId="0">GMIC_22A_SCDPT1!$O$1073</definedName>
    <definedName name="SCDPT1_161BEGINNG_12" localSheetId="0">GMIC_22A_SCDPT1!$P$1073</definedName>
    <definedName name="SCDPT1_161BEGINNG_13" localSheetId="0">GMIC_22A_SCDPT1!$Q$1073</definedName>
    <definedName name="SCDPT1_161BEGINNG_14" localSheetId="0">GMIC_22A_SCDPT1!$R$1073</definedName>
    <definedName name="SCDPT1_161BEGINNG_15" localSheetId="0">GMIC_22A_SCDPT1!$S$1073</definedName>
    <definedName name="SCDPT1_161BEGINNG_16" localSheetId="0">GMIC_22A_SCDPT1!$T$1073</definedName>
    <definedName name="SCDPT1_161BEGINNG_17" localSheetId="0">GMIC_22A_SCDPT1!$U$1073</definedName>
    <definedName name="SCDPT1_161BEGINNG_18" localSheetId="0">GMIC_22A_SCDPT1!$V$1073</definedName>
    <definedName name="SCDPT1_161BEGINNG_19" localSheetId="0">GMIC_22A_SCDPT1!$W$1073</definedName>
    <definedName name="SCDPT1_161BEGINNG_2" localSheetId="0">GMIC_22A_SCDPT1!$D$1073</definedName>
    <definedName name="SCDPT1_161BEGINNG_20" localSheetId="0">GMIC_22A_SCDPT1!$X$1073</definedName>
    <definedName name="SCDPT1_161BEGINNG_21" localSheetId="0">GMIC_22A_SCDPT1!$Y$1073</definedName>
    <definedName name="SCDPT1_161BEGINNG_22" localSheetId="0">GMIC_22A_SCDPT1!$Z$1073</definedName>
    <definedName name="SCDPT1_161BEGINNG_23" localSheetId="0">GMIC_22A_SCDPT1!$AA$1073</definedName>
    <definedName name="SCDPT1_161BEGINNG_24" localSheetId="0">GMIC_22A_SCDPT1!$AB$1073</definedName>
    <definedName name="SCDPT1_161BEGINNG_25" localSheetId="0">GMIC_22A_SCDPT1!$AC$1073</definedName>
    <definedName name="SCDPT1_161BEGINNG_26" localSheetId="0">GMIC_22A_SCDPT1!$AD$1073</definedName>
    <definedName name="SCDPT1_161BEGINNG_27" localSheetId="0">GMIC_22A_SCDPT1!$AE$1073</definedName>
    <definedName name="SCDPT1_161BEGINNG_28" localSheetId="0">GMIC_22A_SCDPT1!$AF$1073</definedName>
    <definedName name="SCDPT1_161BEGINNG_29" localSheetId="0">GMIC_22A_SCDPT1!$AG$1073</definedName>
    <definedName name="SCDPT1_161BEGINNG_3" localSheetId="0">GMIC_22A_SCDPT1!$E$1073</definedName>
    <definedName name="SCDPT1_161BEGINNG_30" localSheetId="0">GMIC_22A_SCDPT1!$AH$1073</definedName>
    <definedName name="SCDPT1_161BEGINNG_31" localSheetId="0">GMIC_22A_SCDPT1!$AI$1073</definedName>
    <definedName name="SCDPT1_161BEGINNG_32" localSheetId="0">GMIC_22A_SCDPT1!$AJ$1073</definedName>
    <definedName name="SCDPT1_161BEGINNG_33" localSheetId="0">GMIC_22A_SCDPT1!$AK$1073</definedName>
    <definedName name="SCDPT1_161BEGINNG_34" localSheetId="0">GMIC_22A_SCDPT1!$AL$1073</definedName>
    <definedName name="SCDPT1_161BEGINNG_35" localSheetId="0">GMIC_22A_SCDPT1!$AM$1073</definedName>
    <definedName name="SCDPT1_161BEGINNG_36" localSheetId="0">GMIC_22A_SCDPT1!$AN$1073</definedName>
    <definedName name="SCDPT1_161BEGINNG_4" localSheetId="0">GMIC_22A_SCDPT1!$F$1073</definedName>
    <definedName name="SCDPT1_161BEGINNG_5" localSheetId="0">GMIC_22A_SCDPT1!$G$1073</definedName>
    <definedName name="SCDPT1_161BEGINNG_6.01" localSheetId="0">GMIC_22A_SCDPT1!$H$1073</definedName>
    <definedName name="SCDPT1_161BEGINNG_6.02" localSheetId="0">GMIC_22A_SCDPT1!$I$1073</definedName>
    <definedName name="SCDPT1_161BEGINNG_6.03" localSheetId="0">GMIC_22A_SCDPT1!$J$1073</definedName>
    <definedName name="SCDPT1_161BEGINNG_7" localSheetId="0">GMIC_22A_SCDPT1!$K$1073</definedName>
    <definedName name="SCDPT1_161BEGINNG_8" localSheetId="0">GMIC_22A_SCDPT1!$L$1073</definedName>
    <definedName name="SCDPT1_161BEGINNG_9" localSheetId="0">GMIC_22A_SCDPT1!$M$1073</definedName>
    <definedName name="SCDPT1_161ENDINGG_10" localSheetId="0">GMIC_22A_SCDPT1!$N$1075</definedName>
    <definedName name="SCDPT1_161ENDINGG_11" localSheetId="0">GMIC_22A_SCDPT1!$O$1075</definedName>
    <definedName name="SCDPT1_161ENDINGG_12" localSheetId="0">GMIC_22A_SCDPT1!$P$1075</definedName>
    <definedName name="SCDPT1_161ENDINGG_13" localSheetId="0">GMIC_22A_SCDPT1!$Q$1075</definedName>
    <definedName name="SCDPT1_161ENDINGG_14" localSheetId="0">GMIC_22A_SCDPT1!$R$1075</definedName>
    <definedName name="SCDPT1_161ENDINGG_15" localSheetId="0">GMIC_22A_SCDPT1!$S$1075</definedName>
    <definedName name="SCDPT1_161ENDINGG_16" localSheetId="0">GMIC_22A_SCDPT1!$T$1075</definedName>
    <definedName name="SCDPT1_161ENDINGG_17" localSheetId="0">GMIC_22A_SCDPT1!$U$1075</definedName>
    <definedName name="SCDPT1_161ENDINGG_18" localSheetId="0">GMIC_22A_SCDPT1!$V$1075</definedName>
    <definedName name="SCDPT1_161ENDINGG_19" localSheetId="0">GMIC_22A_SCDPT1!$W$1075</definedName>
    <definedName name="SCDPT1_161ENDINGG_2" localSheetId="0">GMIC_22A_SCDPT1!$D$1075</definedName>
    <definedName name="SCDPT1_161ENDINGG_20" localSheetId="0">GMIC_22A_SCDPT1!$X$1075</definedName>
    <definedName name="SCDPT1_161ENDINGG_21" localSheetId="0">GMIC_22A_SCDPT1!$Y$1075</definedName>
    <definedName name="SCDPT1_161ENDINGG_22" localSheetId="0">GMIC_22A_SCDPT1!$Z$1075</definedName>
    <definedName name="SCDPT1_161ENDINGG_23" localSheetId="0">GMIC_22A_SCDPT1!$AA$1075</definedName>
    <definedName name="SCDPT1_161ENDINGG_24" localSheetId="0">GMIC_22A_SCDPT1!$AB$1075</definedName>
    <definedName name="SCDPT1_161ENDINGG_25" localSheetId="0">GMIC_22A_SCDPT1!$AC$1075</definedName>
    <definedName name="SCDPT1_161ENDINGG_26" localSheetId="0">GMIC_22A_SCDPT1!$AD$1075</definedName>
    <definedName name="SCDPT1_161ENDINGG_27" localSheetId="0">GMIC_22A_SCDPT1!$AE$1075</definedName>
    <definedName name="SCDPT1_161ENDINGG_28" localSheetId="0">GMIC_22A_SCDPT1!$AF$1075</definedName>
    <definedName name="SCDPT1_161ENDINGG_29" localSheetId="0">GMIC_22A_SCDPT1!$AG$1075</definedName>
    <definedName name="SCDPT1_161ENDINGG_3" localSheetId="0">GMIC_22A_SCDPT1!$E$1075</definedName>
    <definedName name="SCDPT1_161ENDINGG_30" localSheetId="0">GMIC_22A_SCDPT1!$AH$1075</definedName>
    <definedName name="SCDPT1_161ENDINGG_31" localSheetId="0">GMIC_22A_SCDPT1!$AI$1075</definedName>
    <definedName name="SCDPT1_161ENDINGG_32" localSheetId="0">GMIC_22A_SCDPT1!$AJ$1075</definedName>
    <definedName name="SCDPT1_161ENDINGG_33" localSheetId="0">GMIC_22A_SCDPT1!$AK$1075</definedName>
    <definedName name="SCDPT1_161ENDINGG_34" localSheetId="0">GMIC_22A_SCDPT1!$AL$1075</definedName>
    <definedName name="SCDPT1_161ENDINGG_35" localSheetId="0">GMIC_22A_SCDPT1!$AM$1075</definedName>
    <definedName name="SCDPT1_161ENDINGG_36" localSheetId="0">GMIC_22A_SCDPT1!$AN$1075</definedName>
    <definedName name="SCDPT1_161ENDINGG_4" localSheetId="0">GMIC_22A_SCDPT1!$F$1075</definedName>
    <definedName name="SCDPT1_161ENDINGG_5" localSheetId="0">GMIC_22A_SCDPT1!$G$1075</definedName>
    <definedName name="SCDPT1_161ENDINGG_6.01" localSheetId="0">GMIC_22A_SCDPT1!$H$1075</definedName>
    <definedName name="SCDPT1_161ENDINGG_6.02" localSheetId="0">GMIC_22A_SCDPT1!$I$1075</definedName>
    <definedName name="SCDPT1_161ENDINGG_6.03" localSheetId="0">GMIC_22A_SCDPT1!$J$1075</definedName>
    <definedName name="SCDPT1_161ENDINGG_7" localSheetId="0">GMIC_22A_SCDPT1!$K$1075</definedName>
    <definedName name="SCDPT1_161ENDINGG_8" localSheetId="0">GMIC_22A_SCDPT1!$L$1075</definedName>
    <definedName name="SCDPT1_161ENDINGG_9" localSheetId="0">GMIC_22A_SCDPT1!$M$1075</definedName>
    <definedName name="SCDPT1_1810000000_Range" localSheetId="0">GMIC_22A_SCDPT1!$B$1077:$AN$1079</definedName>
    <definedName name="SCDPT1_1819999999_10" localSheetId="0">GMIC_22A_SCDPT1!$N$1080</definedName>
    <definedName name="SCDPT1_1819999999_11" localSheetId="0">GMIC_22A_SCDPT1!$O$1080</definedName>
    <definedName name="SCDPT1_1819999999_12" localSheetId="0">GMIC_22A_SCDPT1!$P$1080</definedName>
    <definedName name="SCDPT1_1819999999_13" localSheetId="0">GMIC_22A_SCDPT1!$Q$1080</definedName>
    <definedName name="SCDPT1_1819999999_14" localSheetId="0">GMIC_22A_SCDPT1!$R$1080</definedName>
    <definedName name="SCDPT1_1819999999_15" localSheetId="0">GMIC_22A_SCDPT1!$S$1080</definedName>
    <definedName name="SCDPT1_1819999999_19" localSheetId="0">GMIC_22A_SCDPT1!$W$1080</definedName>
    <definedName name="SCDPT1_1819999999_20" localSheetId="0">GMIC_22A_SCDPT1!$X$1080</definedName>
    <definedName name="SCDPT1_1819999999_7" localSheetId="0">GMIC_22A_SCDPT1!$K$1080</definedName>
    <definedName name="SCDPT1_1819999999_9" localSheetId="0">GMIC_22A_SCDPT1!$M$1080</definedName>
    <definedName name="SCDPT1_181BEGINNG_1" localSheetId="0">GMIC_22A_SCDPT1!$C$1077</definedName>
    <definedName name="SCDPT1_181BEGINNG_10" localSheetId="0">GMIC_22A_SCDPT1!$N$1077</definedName>
    <definedName name="SCDPT1_181BEGINNG_11" localSheetId="0">GMIC_22A_SCDPT1!$O$1077</definedName>
    <definedName name="SCDPT1_181BEGINNG_12" localSheetId="0">GMIC_22A_SCDPT1!$P$1077</definedName>
    <definedName name="SCDPT1_181BEGINNG_13" localSheetId="0">GMIC_22A_SCDPT1!$Q$1077</definedName>
    <definedName name="SCDPT1_181BEGINNG_14" localSheetId="0">GMIC_22A_SCDPT1!$R$1077</definedName>
    <definedName name="SCDPT1_181BEGINNG_15" localSheetId="0">GMIC_22A_SCDPT1!$S$1077</definedName>
    <definedName name="SCDPT1_181BEGINNG_16" localSheetId="0">GMIC_22A_SCDPT1!$T$1077</definedName>
    <definedName name="SCDPT1_181BEGINNG_17" localSheetId="0">GMIC_22A_SCDPT1!$U$1077</definedName>
    <definedName name="SCDPT1_181BEGINNG_18" localSheetId="0">GMIC_22A_SCDPT1!$V$1077</definedName>
    <definedName name="SCDPT1_181BEGINNG_19" localSheetId="0">GMIC_22A_SCDPT1!$W$1077</definedName>
    <definedName name="SCDPT1_181BEGINNG_2" localSheetId="0">GMIC_22A_SCDPT1!$D$1077</definedName>
    <definedName name="SCDPT1_181BEGINNG_20" localSheetId="0">GMIC_22A_SCDPT1!$X$1077</definedName>
    <definedName name="SCDPT1_181BEGINNG_21" localSheetId="0">GMIC_22A_SCDPT1!$Y$1077</definedName>
    <definedName name="SCDPT1_181BEGINNG_22" localSheetId="0">GMIC_22A_SCDPT1!$Z$1077</definedName>
    <definedName name="SCDPT1_181BEGINNG_23" localSheetId="0">GMIC_22A_SCDPT1!$AA$1077</definedName>
    <definedName name="SCDPT1_181BEGINNG_24" localSheetId="0">GMIC_22A_SCDPT1!$AB$1077</definedName>
    <definedName name="SCDPT1_181BEGINNG_25" localSheetId="0">GMIC_22A_SCDPT1!$AC$1077</definedName>
    <definedName name="SCDPT1_181BEGINNG_26" localSheetId="0">GMIC_22A_SCDPT1!$AD$1077</definedName>
    <definedName name="SCDPT1_181BEGINNG_27" localSheetId="0">GMIC_22A_SCDPT1!$AE$1077</definedName>
    <definedName name="SCDPT1_181BEGINNG_28" localSheetId="0">GMIC_22A_SCDPT1!$AF$1077</definedName>
    <definedName name="SCDPT1_181BEGINNG_29" localSheetId="0">GMIC_22A_SCDPT1!$AG$1077</definedName>
    <definedName name="SCDPT1_181BEGINNG_3" localSheetId="0">GMIC_22A_SCDPT1!$E$1077</definedName>
    <definedName name="SCDPT1_181BEGINNG_30" localSheetId="0">GMIC_22A_SCDPT1!$AH$1077</definedName>
    <definedName name="SCDPT1_181BEGINNG_31" localSheetId="0">GMIC_22A_SCDPT1!$AI$1077</definedName>
    <definedName name="SCDPT1_181BEGINNG_32" localSheetId="0">GMIC_22A_SCDPT1!$AJ$1077</definedName>
    <definedName name="SCDPT1_181BEGINNG_33" localSheetId="0">GMIC_22A_SCDPT1!$AK$1077</definedName>
    <definedName name="SCDPT1_181BEGINNG_34" localSheetId="0">GMIC_22A_SCDPT1!$AL$1077</definedName>
    <definedName name="SCDPT1_181BEGINNG_35" localSheetId="0">GMIC_22A_SCDPT1!$AM$1077</definedName>
    <definedName name="SCDPT1_181BEGINNG_36" localSheetId="0">GMIC_22A_SCDPT1!$AN$1077</definedName>
    <definedName name="SCDPT1_181BEGINNG_4" localSheetId="0">GMIC_22A_SCDPT1!$F$1077</definedName>
    <definedName name="SCDPT1_181BEGINNG_5" localSheetId="0">GMIC_22A_SCDPT1!$G$1077</definedName>
    <definedName name="SCDPT1_181BEGINNG_6.01" localSheetId="0">GMIC_22A_SCDPT1!$H$1077</definedName>
    <definedName name="SCDPT1_181BEGINNG_6.02" localSheetId="0">GMIC_22A_SCDPT1!$I$1077</definedName>
    <definedName name="SCDPT1_181BEGINNG_6.03" localSheetId="0">GMIC_22A_SCDPT1!$J$1077</definedName>
    <definedName name="SCDPT1_181BEGINNG_7" localSheetId="0">GMIC_22A_SCDPT1!$K$1077</definedName>
    <definedName name="SCDPT1_181BEGINNG_8" localSheetId="0">GMIC_22A_SCDPT1!$L$1077</definedName>
    <definedName name="SCDPT1_181BEGINNG_9" localSheetId="0">GMIC_22A_SCDPT1!$M$1077</definedName>
    <definedName name="SCDPT1_181ENDINGG_10" localSheetId="0">GMIC_22A_SCDPT1!$N$1079</definedName>
    <definedName name="SCDPT1_181ENDINGG_11" localSheetId="0">GMIC_22A_SCDPT1!$O$1079</definedName>
    <definedName name="SCDPT1_181ENDINGG_12" localSheetId="0">GMIC_22A_SCDPT1!$P$1079</definedName>
    <definedName name="SCDPT1_181ENDINGG_13" localSheetId="0">GMIC_22A_SCDPT1!$Q$1079</definedName>
    <definedName name="SCDPT1_181ENDINGG_14" localSheetId="0">GMIC_22A_SCDPT1!$R$1079</definedName>
    <definedName name="SCDPT1_181ENDINGG_15" localSheetId="0">GMIC_22A_SCDPT1!$S$1079</definedName>
    <definedName name="SCDPT1_181ENDINGG_16" localSheetId="0">GMIC_22A_SCDPT1!$T$1079</definedName>
    <definedName name="SCDPT1_181ENDINGG_17" localSheetId="0">GMIC_22A_SCDPT1!$U$1079</definedName>
    <definedName name="SCDPT1_181ENDINGG_18" localSheetId="0">GMIC_22A_SCDPT1!$V$1079</definedName>
    <definedName name="SCDPT1_181ENDINGG_19" localSheetId="0">GMIC_22A_SCDPT1!$W$1079</definedName>
    <definedName name="SCDPT1_181ENDINGG_2" localSheetId="0">GMIC_22A_SCDPT1!$D$1079</definedName>
    <definedName name="SCDPT1_181ENDINGG_20" localSheetId="0">GMIC_22A_SCDPT1!$X$1079</definedName>
    <definedName name="SCDPT1_181ENDINGG_21" localSheetId="0">GMIC_22A_SCDPT1!$Y$1079</definedName>
    <definedName name="SCDPT1_181ENDINGG_22" localSheetId="0">GMIC_22A_SCDPT1!$Z$1079</definedName>
    <definedName name="SCDPT1_181ENDINGG_23" localSheetId="0">GMIC_22A_SCDPT1!$AA$1079</definedName>
    <definedName name="SCDPT1_181ENDINGG_24" localSheetId="0">GMIC_22A_SCDPT1!$AB$1079</definedName>
    <definedName name="SCDPT1_181ENDINGG_25" localSheetId="0">GMIC_22A_SCDPT1!$AC$1079</definedName>
    <definedName name="SCDPT1_181ENDINGG_26" localSheetId="0">GMIC_22A_SCDPT1!$AD$1079</definedName>
    <definedName name="SCDPT1_181ENDINGG_27" localSheetId="0">GMIC_22A_SCDPT1!$AE$1079</definedName>
    <definedName name="SCDPT1_181ENDINGG_28" localSheetId="0">GMIC_22A_SCDPT1!$AF$1079</definedName>
    <definedName name="SCDPT1_181ENDINGG_29" localSheetId="0">GMIC_22A_SCDPT1!$AG$1079</definedName>
    <definedName name="SCDPT1_181ENDINGG_3" localSheetId="0">GMIC_22A_SCDPT1!$E$1079</definedName>
    <definedName name="SCDPT1_181ENDINGG_30" localSheetId="0">GMIC_22A_SCDPT1!$AH$1079</definedName>
    <definedName name="SCDPT1_181ENDINGG_31" localSheetId="0">GMIC_22A_SCDPT1!$AI$1079</definedName>
    <definedName name="SCDPT1_181ENDINGG_32" localSheetId="0">GMIC_22A_SCDPT1!$AJ$1079</definedName>
    <definedName name="SCDPT1_181ENDINGG_33" localSheetId="0">GMIC_22A_SCDPT1!$AK$1079</definedName>
    <definedName name="SCDPT1_181ENDINGG_34" localSheetId="0">GMIC_22A_SCDPT1!$AL$1079</definedName>
    <definedName name="SCDPT1_181ENDINGG_35" localSheetId="0">GMIC_22A_SCDPT1!$AM$1079</definedName>
    <definedName name="SCDPT1_181ENDINGG_36" localSheetId="0">GMIC_22A_SCDPT1!$AN$1079</definedName>
    <definedName name="SCDPT1_181ENDINGG_4" localSheetId="0">GMIC_22A_SCDPT1!$F$1079</definedName>
    <definedName name="SCDPT1_181ENDINGG_5" localSheetId="0">GMIC_22A_SCDPT1!$G$1079</definedName>
    <definedName name="SCDPT1_181ENDINGG_6.01" localSheetId="0">GMIC_22A_SCDPT1!$H$1079</definedName>
    <definedName name="SCDPT1_181ENDINGG_6.02" localSheetId="0">GMIC_22A_SCDPT1!$I$1079</definedName>
    <definedName name="SCDPT1_181ENDINGG_6.03" localSheetId="0">GMIC_22A_SCDPT1!$J$1079</definedName>
    <definedName name="SCDPT1_181ENDINGG_7" localSheetId="0">GMIC_22A_SCDPT1!$K$1079</definedName>
    <definedName name="SCDPT1_181ENDINGG_8" localSheetId="0">GMIC_22A_SCDPT1!$L$1079</definedName>
    <definedName name="SCDPT1_181ENDINGG_9" localSheetId="0">GMIC_22A_SCDPT1!$M$1079</definedName>
    <definedName name="SCDPT1_1820000000_Range" localSheetId="0">GMIC_22A_SCDPT1!$B$1081:$AN$1083</definedName>
    <definedName name="SCDPT1_1829999999_10" localSheetId="0">GMIC_22A_SCDPT1!$N$1084</definedName>
    <definedName name="SCDPT1_1829999999_11" localSheetId="0">GMIC_22A_SCDPT1!$O$1084</definedName>
    <definedName name="SCDPT1_1829999999_12" localSheetId="0">GMIC_22A_SCDPT1!$P$1084</definedName>
    <definedName name="SCDPT1_1829999999_13" localSheetId="0">GMIC_22A_SCDPT1!$Q$1084</definedName>
    <definedName name="SCDPT1_1829999999_14" localSheetId="0">GMIC_22A_SCDPT1!$R$1084</definedName>
    <definedName name="SCDPT1_1829999999_15" localSheetId="0">GMIC_22A_SCDPT1!$S$1084</definedName>
    <definedName name="SCDPT1_1829999999_19" localSheetId="0">GMIC_22A_SCDPT1!$W$1084</definedName>
    <definedName name="SCDPT1_1829999999_20" localSheetId="0">GMIC_22A_SCDPT1!$X$1084</definedName>
    <definedName name="SCDPT1_1829999999_7" localSheetId="0">GMIC_22A_SCDPT1!$K$1084</definedName>
    <definedName name="SCDPT1_1829999999_9" localSheetId="0">GMIC_22A_SCDPT1!$M$1084</definedName>
    <definedName name="SCDPT1_182BEGINNG_1" localSheetId="0">GMIC_22A_SCDPT1!$C$1081</definedName>
    <definedName name="SCDPT1_182BEGINNG_10" localSheetId="0">GMIC_22A_SCDPT1!$N$1081</definedName>
    <definedName name="SCDPT1_182BEGINNG_11" localSheetId="0">GMIC_22A_SCDPT1!$O$1081</definedName>
    <definedName name="SCDPT1_182BEGINNG_12" localSheetId="0">GMIC_22A_SCDPT1!$P$1081</definedName>
    <definedName name="SCDPT1_182BEGINNG_13" localSheetId="0">GMIC_22A_SCDPT1!$Q$1081</definedName>
    <definedName name="SCDPT1_182BEGINNG_14" localSheetId="0">GMIC_22A_SCDPT1!$R$1081</definedName>
    <definedName name="SCDPT1_182BEGINNG_15" localSheetId="0">GMIC_22A_SCDPT1!$S$1081</definedName>
    <definedName name="SCDPT1_182BEGINNG_16" localSheetId="0">GMIC_22A_SCDPT1!$T$1081</definedName>
    <definedName name="SCDPT1_182BEGINNG_17" localSheetId="0">GMIC_22A_SCDPT1!$U$1081</definedName>
    <definedName name="SCDPT1_182BEGINNG_18" localSheetId="0">GMIC_22A_SCDPT1!$V$1081</definedName>
    <definedName name="SCDPT1_182BEGINNG_19" localSheetId="0">GMIC_22A_SCDPT1!$W$1081</definedName>
    <definedName name="SCDPT1_182BEGINNG_2" localSheetId="0">GMIC_22A_SCDPT1!$D$1081</definedName>
    <definedName name="SCDPT1_182BEGINNG_20" localSheetId="0">GMIC_22A_SCDPT1!$X$1081</definedName>
    <definedName name="SCDPT1_182BEGINNG_21" localSheetId="0">GMIC_22A_SCDPT1!$Y$1081</definedName>
    <definedName name="SCDPT1_182BEGINNG_22" localSheetId="0">GMIC_22A_SCDPT1!$Z$1081</definedName>
    <definedName name="SCDPT1_182BEGINNG_23" localSheetId="0">GMIC_22A_SCDPT1!$AA$1081</definedName>
    <definedName name="SCDPT1_182BEGINNG_24" localSheetId="0">GMIC_22A_SCDPT1!$AB$1081</definedName>
    <definedName name="SCDPT1_182BEGINNG_25" localSheetId="0">GMIC_22A_SCDPT1!$AC$1081</definedName>
    <definedName name="SCDPT1_182BEGINNG_26" localSheetId="0">GMIC_22A_SCDPT1!$AD$1081</definedName>
    <definedName name="SCDPT1_182BEGINNG_27" localSheetId="0">GMIC_22A_SCDPT1!$AE$1081</definedName>
    <definedName name="SCDPT1_182BEGINNG_28" localSheetId="0">GMIC_22A_SCDPT1!$AF$1081</definedName>
    <definedName name="SCDPT1_182BEGINNG_29" localSheetId="0">GMIC_22A_SCDPT1!$AG$1081</definedName>
    <definedName name="SCDPT1_182BEGINNG_3" localSheetId="0">GMIC_22A_SCDPT1!$E$1081</definedName>
    <definedName name="SCDPT1_182BEGINNG_30" localSheetId="0">GMIC_22A_SCDPT1!$AH$1081</definedName>
    <definedName name="SCDPT1_182BEGINNG_31" localSheetId="0">GMIC_22A_SCDPT1!$AI$1081</definedName>
    <definedName name="SCDPT1_182BEGINNG_32" localSheetId="0">GMIC_22A_SCDPT1!$AJ$1081</definedName>
    <definedName name="SCDPT1_182BEGINNG_33" localSheetId="0">GMIC_22A_SCDPT1!$AK$1081</definedName>
    <definedName name="SCDPT1_182BEGINNG_34" localSheetId="0">GMIC_22A_SCDPT1!$AL$1081</definedName>
    <definedName name="SCDPT1_182BEGINNG_35" localSheetId="0">GMIC_22A_SCDPT1!$AM$1081</definedName>
    <definedName name="SCDPT1_182BEGINNG_36" localSheetId="0">GMIC_22A_SCDPT1!$AN$1081</definedName>
    <definedName name="SCDPT1_182BEGINNG_4" localSheetId="0">GMIC_22A_SCDPT1!$F$1081</definedName>
    <definedName name="SCDPT1_182BEGINNG_5" localSheetId="0">GMIC_22A_SCDPT1!$G$1081</definedName>
    <definedName name="SCDPT1_182BEGINNG_6.01" localSheetId="0">GMIC_22A_SCDPT1!$H$1081</definedName>
    <definedName name="SCDPT1_182BEGINNG_6.02" localSheetId="0">GMIC_22A_SCDPT1!$I$1081</definedName>
    <definedName name="SCDPT1_182BEGINNG_6.03" localSheetId="0">GMIC_22A_SCDPT1!$J$1081</definedName>
    <definedName name="SCDPT1_182BEGINNG_7" localSheetId="0">GMIC_22A_SCDPT1!$K$1081</definedName>
    <definedName name="SCDPT1_182BEGINNG_8" localSheetId="0">GMIC_22A_SCDPT1!$L$1081</definedName>
    <definedName name="SCDPT1_182BEGINNG_9" localSheetId="0">GMIC_22A_SCDPT1!$M$1081</definedName>
    <definedName name="SCDPT1_182ENDINGG_10" localSheetId="0">GMIC_22A_SCDPT1!$N$1083</definedName>
    <definedName name="SCDPT1_182ENDINGG_11" localSheetId="0">GMIC_22A_SCDPT1!$O$1083</definedName>
    <definedName name="SCDPT1_182ENDINGG_12" localSheetId="0">GMIC_22A_SCDPT1!$P$1083</definedName>
    <definedName name="SCDPT1_182ENDINGG_13" localSheetId="0">GMIC_22A_SCDPT1!$Q$1083</definedName>
    <definedName name="SCDPT1_182ENDINGG_14" localSheetId="0">GMIC_22A_SCDPT1!$R$1083</definedName>
    <definedName name="SCDPT1_182ENDINGG_15" localSheetId="0">GMIC_22A_SCDPT1!$S$1083</definedName>
    <definedName name="SCDPT1_182ENDINGG_16" localSheetId="0">GMIC_22A_SCDPT1!$T$1083</definedName>
    <definedName name="SCDPT1_182ENDINGG_17" localSheetId="0">GMIC_22A_SCDPT1!$U$1083</definedName>
    <definedName name="SCDPT1_182ENDINGG_18" localSheetId="0">GMIC_22A_SCDPT1!$V$1083</definedName>
    <definedName name="SCDPT1_182ENDINGG_19" localSheetId="0">GMIC_22A_SCDPT1!$W$1083</definedName>
    <definedName name="SCDPT1_182ENDINGG_2" localSheetId="0">GMIC_22A_SCDPT1!$D$1083</definedName>
    <definedName name="SCDPT1_182ENDINGG_20" localSheetId="0">GMIC_22A_SCDPT1!$X$1083</definedName>
    <definedName name="SCDPT1_182ENDINGG_21" localSheetId="0">GMIC_22A_SCDPT1!$Y$1083</definedName>
    <definedName name="SCDPT1_182ENDINGG_22" localSheetId="0">GMIC_22A_SCDPT1!$Z$1083</definedName>
    <definedName name="SCDPT1_182ENDINGG_23" localSheetId="0">GMIC_22A_SCDPT1!$AA$1083</definedName>
    <definedName name="SCDPT1_182ENDINGG_24" localSheetId="0">GMIC_22A_SCDPT1!$AB$1083</definedName>
    <definedName name="SCDPT1_182ENDINGG_25" localSheetId="0">GMIC_22A_SCDPT1!$AC$1083</definedName>
    <definedName name="SCDPT1_182ENDINGG_26" localSheetId="0">GMIC_22A_SCDPT1!$AD$1083</definedName>
    <definedName name="SCDPT1_182ENDINGG_27" localSheetId="0">GMIC_22A_SCDPT1!$AE$1083</definedName>
    <definedName name="SCDPT1_182ENDINGG_28" localSheetId="0">GMIC_22A_SCDPT1!$AF$1083</definedName>
    <definedName name="SCDPT1_182ENDINGG_29" localSheetId="0">GMIC_22A_SCDPT1!$AG$1083</definedName>
    <definedName name="SCDPT1_182ENDINGG_3" localSheetId="0">GMIC_22A_SCDPT1!$E$1083</definedName>
    <definedName name="SCDPT1_182ENDINGG_30" localSheetId="0">GMIC_22A_SCDPT1!$AH$1083</definedName>
    <definedName name="SCDPT1_182ENDINGG_31" localSheetId="0">GMIC_22A_SCDPT1!$AI$1083</definedName>
    <definedName name="SCDPT1_182ENDINGG_32" localSheetId="0">GMIC_22A_SCDPT1!$AJ$1083</definedName>
    <definedName name="SCDPT1_182ENDINGG_33" localSheetId="0">GMIC_22A_SCDPT1!$AK$1083</definedName>
    <definedName name="SCDPT1_182ENDINGG_34" localSheetId="0">GMIC_22A_SCDPT1!$AL$1083</definedName>
    <definedName name="SCDPT1_182ENDINGG_35" localSheetId="0">GMIC_22A_SCDPT1!$AM$1083</definedName>
    <definedName name="SCDPT1_182ENDINGG_36" localSheetId="0">GMIC_22A_SCDPT1!$AN$1083</definedName>
    <definedName name="SCDPT1_182ENDINGG_4" localSheetId="0">GMIC_22A_SCDPT1!$F$1083</definedName>
    <definedName name="SCDPT1_182ENDINGG_5" localSheetId="0">GMIC_22A_SCDPT1!$G$1083</definedName>
    <definedName name="SCDPT1_182ENDINGG_6.01" localSheetId="0">GMIC_22A_SCDPT1!$H$1083</definedName>
    <definedName name="SCDPT1_182ENDINGG_6.02" localSheetId="0">GMIC_22A_SCDPT1!$I$1083</definedName>
    <definedName name="SCDPT1_182ENDINGG_6.03" localSheetId="0">GMIC_22A_SCDPT1!$J$1083</definedName>
    <definedName name="SCDPT1_182ENDINGG_7" localSheetId="0">GMIC_22A_SCDPT1!$K$1083</definedName>
    <definedName name="SCDPT1_182ENDINGG_8" localSheetId="0">GMIC_22A_SCDPT1!$L$1083</definedName>
    <definedName name="SCDPT1_182ENDINGG_9" localSheetId="0">GMIC_22A_SCDPT1!$M$1083</definedName>
    <definedName name="SCDPT1_1909999999_10" localSheetId="0">GMIC_22A_SCDPT1!$N$1085</definedName>
    <definedName name="SCDPT1_1909999999_11" localSheetId="0">GMIC_22A_SCDPT1!$O$1085</definedName>
    <definedName name="SCDPT1_1909999999_12" localSheetId="0">GMIC_22A_SCDPT1!$P$1085</definedName>
    <definedName name="SCDPT1_1909999999_13" localSheetId="0">GMIC_22A_SCDPT1!$Q$1085</definedName>
    <definedName name="SCDPT1_1909999999_14" localSheetId="0">GMIC_22A_SCDPT1!$R$1085</definedName>
    <definedName name="SCDPT1_1909999999_15" localSheetId="0">GMIC_22A_SCDPT1!$S$1085</definedName>
    <definedName name="SCDPT1_1909999999_19" localSheetId="0">GMIC_22A_SCDPT1!$W$1085</definedName>
    <definedName name="SCDPT1_1909999999_20" localSheetId="0">GMIC_22A_SCDPT1!$X$1085</definedName>
    <definedName name="SCDPT1_1909999999_7" localSheetId="0">GMIC_22A_SCDPT1!$K$1085</definedName>
    <definedName name="SCDPT1_1909999999_9" localSheetId="0">GMIC_22A_SCDPT1!$M$1085</definedName>
    <definedName name="SCDPT1_2010000000_Range" localSheetId="0">GMIC_22A_SCDPT1!$B$1086:$AN$1088</definedName>
    <definedName name="SCDPT1_2019999999_10" localSheetId="0">GMIC_22A_SCDPT1!$N$1089</definedName>
    <definedName name="SCDPT1_2019999999_11" localSheetId="0">GMIC_22A_SCDPT1!$O$1089</definedName>
    <definedName name="SCDPT1_2019999999_12" localSheetId="0">GMIC_22A_SCDPT1!$P$1089</definedName>
    <definedName name="SCDPT1_2019999999_13" localSheetId="0">GMIC_22A_SCDPT1!$Q$1089</definedName>
    <definedName name="SCDPT1_2019999999_14" localSheetId="0">GMIC_22A_SCDPT1!$R$1089</definedName>
    <definedName name="SCDPT1_2019999999_15" localSheetId="0">GMIC_22A_SCDPT1!$S$1089</definedName>
    <definedName name="SCDPT1_2019999999_19" localSheetId="0">GMIC_22A_SCDPT1!$W$1089</definedName>
    <definedName name="SCDPT1_2019999999_20" localSheetId="0">GMIC_22A_SCDPT1!$X$1089</definedName>
    <definedName name="SCDPT1_2019999999_7" localSheetId="0">GMIC_22A_SCDPT1!$K$1089</definedName>
    <definedName name="SCDPT1_2019999999_9" localSheetId="0">GMIC_22A_SCDPT1!$M$1089</definedName>
    <definedName name="SCDPT1_201BEGINNG_1" localSheetId="0">GMIC_22A_SCDPT1!$C$1086</definedName>
    <definedName name="SCDPT1_201BEGINNG_10" localSheetId="0">GMIC_22A_SCDPT1!$N$1086</definedName>
    <definedName name="SCDPT1_201BEGINNG_11" localSheetId="0">GMIC_22A_SCDPT1!$O$1086</definedName>
    <definedName name="SCDPT1_201BEGINNG_12" localSheetId="0">GMIC_22A_SCDPT1!$P$1086</definedName>
    <definedName name="SCDPT1_201BEGINNG_13" localSheetId="0">GMIC_22A_SCDPT1!$Q$1086</definedName>
    <definedName name="SCDPT1_201BEGINNG_14" localSheetId="0">GMIC_22A_SCDPT1!$R$1086</definedName>
    <definedName name="SCDPT1_201BEGINNG_15" localSheetId="0">GMIC_22A_SCDPT1!$S$1086</definedName>
    <definedName name="SCDPT1_201BEGINNG_16" localSheetId="0">GMIC_22A_SCDPT1!$T$1086</definedName>
    <definedName name="SCDPT1_201BEGINNG_17" localSheetId="0">GMIC_22A_SCDPT1!$U$1086</definedName>
    <definedName name="SCDPT1_201BEGINNG_18" localSheetId="0">GMIC_22A_SCDPT1!$V$1086</definedName>
    <definedName name="SCDPT1_201BEGINNG_19" localSheetId="0">GMIC_22A_SCDPT1!$W$1086</definedName>
    <definedName name="SCDPT1_201BEGINNG_2" localSheetId="0">GMIC_22A_SCDPT1!$D$1086</definedName>
    <definedName name="SCDPT1_201BEGINNG_20" localSheetId="0">GMIC_22A_SCDPT1!$X$1086</definedName>
    <definedName name="SCDPT1_201BEGINNG_21" localSheetId="0">GMIC_22A_SCDPT1!$Y$1086</definedName>
    <definedName name="SCDPT1_201BEGINNG_22" localSheetId="0">GMIC_22A_SCDPT1!$Z$1086</definedName>
    <definedName name="SCDPT1_201BEGINNG_23" localSheetId="0">GMIC_22A_SCDPT1!$AA$1086</definedName>
    <definedName name="SCDPT1_201BEGINNG_24" localSheetId="0">GMIC_22A_SCDPT1!$AB$1086</definedName>
    <definedName name="SCDPT1_201BEGINNG_25" localSheetId="0">GMIC_22A_SCDPT1!$AC$1086</definedName>
    <definedName name="SCDPT1_201BEGINNG_26" localSheetId="0">GMIC_22A_SCDPT1!$AD$1086</definedName>
    <definedName name="SCDPT1_201BEGINNG_27" localSheetId="0">GMIC_22A_SCDPT1!$AE$1086</definedName>
    <definedName name="SCDPT1_201BEGINNG_28" localSheetId="0">GMIC_22A_SCDPT1!$AF$1086</definedName>
    <definedName name="SCDPT1_201BEGINNG_29" localSheetId="0">GMIC_22A_SCDPT1!$AG$1086</definedName>
    <definedName name="SCDPT1_201BEGINNG_3" localSheetId="0">GMIC_22A_SCDPT1!$E$1086</definedName>
    <definedName name="SCDPT1_201BEGINNG_30" localSheetId="0">GMIC_22A_SCDPT1!$AH$1086</definedName>
    <definedName name="SCDPT1_201BEGINNG_31" localSheetId="0">GMIC_22A_SCDPT1!$AI$1086</definedName>
    <definedName name="SCDPT1_201BEGINNG_32" localSheetId="0">GMIC_22A_SCDPT1!$AJ$1086</definedName>
    <definedName name="SCDPT1_201BEGINNG_33" localSheetId="0">GMIC_22A_SCDPT1!$AK$1086</definedName>
    <definedName name="SCDPT1_201BEGINNG_34" localSheetId="0">GMIC_22A_SCDPT1!$AL$1086</definedName>
    <definedName name="SCDPT1_201BEGINNG_35" localSheetId="0">GMIC_22A_SCDPT1!$AM$1086</definedName>
    <definedName name="SCDPT1_201BEGINNG_36" localSheetId="0">GMIC_22A_SCDPT1!$AN$1086</definedName>
    <definedName name="SCDPT1_201BEGINNG_4" localSheetId="0">GMIC_22A_SCDPT1!$F$1086</definedName>
    <definedName name="SCDPT1_201BEGINNG_5" localSheetId="0">GMIC_22A_SCDPT1!$G$1086</definedName>
    <definedName name="SCDPT1_201BEGINNG_6.01" localSheetId="0">GMIC_22A_SCDPT1!$H$1086</definedName>
    <definedName name="SCDPT1_201BEGINNG_6.02" localSheetId="0">GMIC_22A_SCDPT1!$I$1086</definedName>
    <definedName name="SCDPT1_201BEGINNG_6.03" localSheetId="0">GMIC_22A_SCDPT1!$J$1086</definedName>
    <definedName name="SCDPT1_201BEGINNG_7" localSheetId="0">GMIC_22A_SCDPT1!$K$1086</definedName>
    <definedName name="SCDPT1_201BEGINNG_8" localSheetId="0">GMIC_22A_SCDPT1!$L$1086</definedName>
    <definedName name="SCDPT1_201BEGINNG_9" localSheetId="0">GMIC_22A_SCDPT1!$M$1086</definedName>
    <definedName name="SCDPT1_201ENDINGG_10" localSheetId="0">GMIC_22A_SCDPT1!$N$1088</definedName>
    <definedName name="SCDPT1_201ENDINGG_11" localSheetId="0">GMIC_22A_SCDPT1!$O$1088</definedName>
    <definedName name="SCDPT1_201ENDINGG_12" localSheetId="0">GMIC_22A_SCDPT1!$P$1088</definedName>
    <definedName name="SCDPT1_201ENDINGG_13" localSheetId="0">GMIC_22A_SCDPT1!$Q$1088</definedName>
    <definedName name="SCDPT1_201ENDINGG_14" localSheetId="0">GMIC_22A_SCDPT1!$R$1088</definedName>
    <definedName name="SCDPT1_201ENDINGG_15" localSheetId="0">GMIC_22A_SCDPT1!$S$1088</definedName>
    <definedName name="SCDPT1_201ENDINGG_16" localSheetId="0">GMIC_22A_SCDPT1!$T$1088</definedName>
    <definedName name="SCDPT1_201ENDINGG_17" localSheetId="0">GMIC_22A_SCDPT1!$U$1088</definedName>
    <definedName name="SCDPT1_201ENDINGG_18" localSheetId="0">GMIC_22A_SCDPT1!$V$1088</definedName>
    <definedName name="SCDPT1_201ENDINGG_19" localSheetId="0">GMIC_22A_SCDPT1!$W$1088</definedName>
    <definedName name="SCDPT1_201ENDINGG_2" localSheetId="0">GMIC_22A_SCDPT1!$D$1088</definedName>
    <definedName name="SCDPT1_201ENDINGG_20" localSheetId="0">GMIC_22A_SCDPT1!$X$1088</definedName>
    <definedName name="SCDPT1_201ENDINGG_21" localSheetId="0">GMIC_22A_SCDPT1!$Y$1088</definedName>
    <definedName name="SCDPT1_201ENDINGG_22" localSheetId="0">GMIC_22A_SCDPT1!$Z$1088</definedName>
    <definedName name="SCDPT1_201ENDINGG_23" localSheetId="0">GMIC_22A_SCDPT1!$AA$1088</definedName>
    <definedName name="SCDPT1_201ENDINGG_24" localSheetId="0">GMIC_22A_SCDPT1!$AB$1088</definedName>
    <definedName name="SCDPT1_201ENDINGG_25" localSheetId="0">GMIC_22A_SCDPT1!$AC$1088</definedName>
    <definedName name="SCDPT1_201ENDINGG_26" localSheetId="0">GMIC_22A_SCDPT1!$AD$1088</definedName>
    <definedName name="SCDPT1_201ENDINGG_27" localSheetId="0">GMIC_22A_SCDPT1!$AE$1088</definedName>
    <definedName name="SCDPT1_201ENDINGG_28" localSheetId="0">GMIC_22A_SCDPT1!$AF$1088</definedName>
    <definedName name="SCDPT1_201ENDINGG_29" localSheetId="0">GMIC_22A_SCDPT1!$AG$1088</definedName>
    <definedName name="SCDPT1_201ENDINGG_3" localSheetId="0">GMIC_22A_SCDPT1!$E$1088</definedName>
    <definedName name="SCDPT1_201ENDINGG_30" localSheetId="0">GMIC_22A_SCDPT1!$AH$1088</definedName>
    <definedName name="SCDPT1_201ENDINGG_31" localSheetId="0">GMIC_22A_SCDPT1!$AI$1088</definedName>
    <definedName name="SCDPT1_201ENDINGG_32" localSheetId="0">GMIC_22A_SCDPT1!$AJ$1088</definedName>
    <definedName name="SCDPT1_201ENDINGG_33" localSheetId="0">GMIC_22A_SCDPT1!$AK$1088</definedName>
    <definedName name="SCDPT1_201ENDINGG_34" localSheetId="0">GMIC_22A_SCDPT1!$AL$1088</definedName>
    <definedName name="SCDPT1_201ENDINGG_35" localSheetId="0">GMIC_22A_SCDPT1!$AM$1088</definedName>
    <definedName name="SCDPT1_201ENDINGG_36" localSheetId="0">GMIC_22A_SCDPT1!$AN$1088</definedName>
    <definedName name="SCDPT1_201ENDINGG_4" localSheetId="0">GMIC_22A_SCDPT1!$F$1088</definedName>
    <definedName name="SCDPT1_201ENDINGG_5" localSheetId="0">GMIC_22A_SCDPT1!$G$1088</definedName>
    <definedName name="SCDPT1_201ENDINGG_6.01" localSheetId="0">GMIC_22A_SCDPT1!$H$1088</definedName>
    <definedName name="SCDPT1_201ENDINGG_6.02" localSheetId="0">GMIC_22A_SCDPT1!$I$1088</definedName>
    <definedName name="SCDPT1_201ENDINGG_6.03" localSheetId="0">GMIC_22A_SCDPT1!$J$1088</definedName>
    <definedName name="SCDPT1_201ENDINGG_7" localSheetId="0">GMIC_22A_SCDPT1!$K$1088</definedName>
    <definedName name="SCDPT1_201ENDINGG_8" localSheetId="0">GMIC_22A_SCDPT1!$L$1088</definedName>
    <definedName name="SCDPT1_201ENDINGG_9" localSheetId="0">GMIC_22A_SCDPT1!$M$1088</definedName>
    <definedName name="SCDPT1_2419999999_10" localSheetId="0">GMIC_22A_SCDPT1!$N$1090</definedName>
    <definedName name="SCDPT1_2419999999_11" localSheetId="0">GMIC_22A_SCDPT1!$O$1090</definedName>
    <definedName name="SCDPT1_2419999999_12" localSheetId="0">GMIC_22A_SCDPT1!$P$1090</definedName>
    <definedName name="SCDPT1_2419999999_13" localSheetId="0">GMIC_22A_SCDPT1!$Q$1090</definedName>
    <definedName name="SCDPT1_2419999999_14" localSheetId="0">GMIC_22A_SCDPT1!$R$1090</definedName>
    <definedName name="SCDPT1_2419999999_15" localSheetId="0">GMIC_22A_SCDPT1!$S$1090</definedName>
    <definedName name="SCDPT1_2419999999_19" localSheetId="0">GMIC_22A_SCDPT1!$W$1090</definedName>
    <definedName name="SCDPT1_2419999999_20" localSheetId="0">GMIC_22A_SCDPT1!$X$1090</definedName>
    <definedName name="SCDPT1_2419999999_7" localSheetId="0">GMIC_22A_SCDPT1!$K$1090</definedName>
    <definedName name="SCDPT1_2419999999_9" localSheetId="0">GMIC_22A_SCDPT1!$M$1090</definedName>
    <definedName name="SCDPT1_2429999999_10" localSheetId="0">GMIC_22A_SCDPT1!$N$1091</definedName>
    <definedName name="SCDPT1_2429999999_11" localSheetId="0">GMIC_22A_SCDPT1!$O$1091</definedName>
    <definedName name="SCDPT1_2429999999_12" localSheetId="0">GMIC_22A_SCDPT1!$P$1091</definedName>
    <definedName name="SCDPT1_2429999999_13" localSheetId="0">GMIC_22A_SCDPT1!$Q$1091</definedName>
    <definedName name="SCDPT1_2429999999_14" localSheetId="0">GMIC_22A_SCDPT1!$R$1091</definedName>
    <definedName name="SCDPT1_2429999999_15" localSheetId="0">GMIC_22A_SCDPT1!$S$1091</definedName>
    <definedName name="SCDPT1_2429999999_19" localSheetId="0">GMIC_22A_SCDPT1!$W$1091</definedName>
    <definedName name="SCDPT1_2429999999_20" localSheetId="0">GMIC_22A_SCDPT1!$X$1091</definedName>
    <definedName name="SCDPT1_2429999999_7" localSheetId="0">GMIC_22A_SCDPT1!$K$1091</definedName>
    <definedName name="SCDPT1_2429999999_9" localSheetId="0">GMIC_22A_SCDPT1!$M$1091</definedName>
    <definedName name="SCDPT1_2439999999_10" localSheetId="0">GMIC_22A_SCDPT1!$N$1092</definedName>
    <definedName name="SCDPT1_2439999999_11" localSheetId="0">GMIC_22A_SCDPT1!$O$1092</definedName>
    <definedName name="SCDPT1_2439999999_12" localSheetId="0">GMIC_22A_SCDPT1!$P$1092</definedName>
    <definedName name="SCDPT1_2439999999_13" localSheetId="0">GMIC_22A_SCDPT1!$Q$1092</definedName>
    <definedName name="SCDPT1_2439999999_14" localSheetId="0">GMIC_22A_SCDPT1!$R$1092</definedName>
    <definedName name="SCDPT1_2439999999_15" localSheetId="0">GMIC_22A_SCDPT1!$S$1092</definedName>
    <definedName name="SCDPT1_2439999999_19" localSheetId="0">GMIC_22A_SCDPT1!$W$1092</definedName>
    <definedName name="SCDPT1_2439999999_20" localSheetId="0">GMIC_22A_SCDPT1!$X$1092</definedName>
    <definedName name="SCDPT1_2439999999_7" localSheetId="0">GMIC_22A_SCDPT1!$K$1092</definedName>
    <definedName name="SCDPT1_2439999999_9" localSheetId="0">GMIC_22A_SCDPT1!$M$1092</definedName>
    <definedName name="SCDPT1_2449999999_10" localSheetId="0">GMIC_22A_SCDPT1!$N$1093</definedName>
    <definedName name="SCDPT1_2449999999_11" localSheetId="0">GMIC_22A_SCDPT1!$O$1093</definedName>
    <definedName name="SCDPT1_2449999999_12" localSheetId="0">GMIC_22A_SCDPT1!$P$1093</definedName>
    <definedName name="SCDPT1_2449999999_13" localSheetId="0">GMIC_22A_SCDPT1!$Q$1093</definedName>
    <definedName name="SCDPT1_2449999999_14" localSheetId="0">GMIC_22A_SCDPT1!$R$1093</definedName>
    <definedName name="SCDPT1_2449999999_15" localSheetId="0">GMIC_22A_SCDPT1!$S$1093</definedName>
    <definedName name="SCDPT1_2449999999_19" localSheetId="0">GMIC_22A_SCDPT1!$W$1093</definedName>
    <definedName name="SCDPT1_2449999999_20" localSheetId="0">GMIC_22A_SCDPT1!$X$1093</definedName>
    <definedName name="SCDPT1_2449999999_7" localSheetId="0">GMIC_22A_SCDPT1!$K$1093</definedName>
    <definedName name="SCDPT1_2449999999_9" localSheetId="0">GMIC_22A_SCDPT1!$M$1093</definedName>
    <definedName name="SCDPT1_2459999999_10" localSheetId="0">GMIC_22A_SCDPT1!$N$1094</definedName>
    <definedName name="SCDPT1_2459999999_11" localSheetId="0">GMIC_22A_SCDPT1!$O$1094</definedName>
    <definedName name="SCDPT1_2459999999_12" localSheetId="0">GMIC_22A_SCDPT1!$P$1094</definedName>
    <definedName name="SCDPT1_2459999999_13" localSheetId="0">GMIC_22A_SCDPT1!$Q$1094</definedName>
    <definedName name="SCDPT1_2459999999_14" localSheetId="0">GMIC_22A_SCDPT1!$R$1094</definedName>
    <definedName name="SCDPT1_2459999999_15" localSheetId="0">GMIC_22A_SCDPT1!$S$1094</definedName>
    <definedName name="SCDPT1_2459999999_19" localSheetId="0">GMIC_22A_SCDPT1!$W$1094</definedName>
    <definedName name="SCDPT1_2459999999_20" localSheetId="0">GMIC_22A_SCDPT1!$X$1094</definedName>
    <definedName name="SCDPT1_2459999999_7" localSheetId="0">GMIC_22A_SCDPT1!$K$1094</definedName>
    <definedName name="SCDPT1_2459999999_9" localSheetId="0">GMIC_22A_SCDPT1!$M$1094</definedName>
    <definedName name="SCDPT1_2469999999_10" localSheetId="0">GMIC_22A_SCDPT1!$N$1095</definedName>
    <definedName name="SCDPT1_2469999999_11" localSheetId="0">GMIC_22A_SCDPT1!$O$1095</definedName>
    <definedName name="SCDPT1_2469999999_12" localSheetId="0">GMIC_22A_SCDPT1!$P$1095</definedName>
    <definedName name="SCDPT1_2469999999_13" localSheetId="0">GMIC_22A_SCDPT1!$Q$1095</definedName>
    <definedName name="SCDPT1_2469999999_14" localSheetId="0">GMIC_22A_SCDPT1!$R$1095</definedName>
    <definedName name="SCDPT1_2469999999_15" localSheetId="0">GMIC_22A_SCDPT1!$S$1095</definedName>
    <definedName name="SCDPT1_2469999999_19" localSheetId="0">GMIC_22A_SCDPT1!$W$1095</definedName>
    <definedName name="SCDPT1_2469999999_20" localSheetId="0">GMIC_22A_SCDPT1!$X$1095</definedName>
    <definedName name="SCDPT1_2469999999_7" localSheetId="0">GMIC_22A_SCDPT1!$K$1095</definedName>
    <definedName name="SCDPT1_2469999999_9" localSheetId="0">GMIC_22A_SCDPT1!$M$1095</definedName>
    <definedName name="SCDPT1_2479999999_10" localSheetId="0">GMIC_22A_SCDPT1!$N$1096</definedName>
    <definedName name="SCDPT1_2479999999_11" localSheetId="0">GMIC_22A_SCDPT1!$O$1096</definedName>
    <definedName name="SCDPT1_2479999999_12" localSheetId="0">GMIC_22A_SCDPT1!$P$1096</definedName>
    <definedName name="SCDPT1_2479999999_13" localSheetId="0">GMIC_22A_SCDPT1!$Q$1096</definedName>
    <definedName name="SCDPT1_2479999999_14" localSheetId="0">GMIC_22A_SCDPT1!$R$1096</definedName>
    <definedName name="SCDPT1_2479999999_15" localSheetId="0">GMIC_22A_SCDPT1!$S$1096</definedName>
    <definedName name="SCDPT1_2479999999_19" localSheetId="0">GMIC_22A_SCDPT1!$W$1096</definedName>
    <definedName name="SCDPT1_2479999999_20" localSheetId="0">GMIC_22A_SCDPT1!$X$1096</definedName>
    <definedName name="SCDPT1_2479999999_7" localSheetId="0">GMIC_22A_SCDPT1!$K$1096</definedName>
    <definedName name="SCDPT1_2479999999_9" localSheetId="0">GMIC_22A_SCDPT1!$M$1096</definedName>
    <definedName name="SCDPT1_2489999999_10" localSheetId="0">GMIC_22A_SCDPT1!$N$1097</definedName>
    <definedName name="SCDPT1_2489999999_11" localSheetId="0">GMIC_22A_SCDPT1!$O$1097</definedName>
    <definedName name="SCDPT1_2489999999_12" localSheetId="0">GMIC_22A_SCDPT1!$P$1097</definedName>
    <definedName name="SCDPT1_2489999999_13" localSheetId="0">GMIC_22A_SCDPT1!$Q$1097</definedName>
    <definedName name="SCDPT1_2489999999_14" localSheetId="0">GMIC_22A_SCDPT1!$R$1097</definedName>
    <definedName name="SCDPT1_2489999999_15" localSheetId="0">GMIC_22A_SCDPT1!$S$1097</definedName>
    <definedName name="SCDPT1_2489999999_19" localSheetId="0">GMIC_22A_SCDPT1!$W$1097</definedName>
    <definedName name="SCDPT1_2489999999_20" localSheetId="0">GMIC_22A_SCDPT1!$X$1097</definedName>
    <definedName name="SCDPT1_2489999999_7" localSheetId="0">GMIC_22A_SCDPT1!$K$1097</definedName>
    <definedName name="SCDPT1_2489999999_9" localSheetId="0">GMIC_22A_SCDPT1!$M$1097</definedName>
    <definedName name="SCDPT1_2509999999_10" localSheetId="0">GMIC_22A_SCDPT1!$N$1098</definedName>
    <definedName name="SCDPT1_2509999999_11" localSheetId="0">GMIC_22A_SCDPT1!$O$1098</definedName>
    <definedName name="SCDPT1_2509999999_12" localSheetId="0">GMIC_22A_SCDPT1!$P$1098</definedName>
    <definedName name="SCDPT1_2509999999_13" localSheetId="0">GMIC_22A_SCDPT1!$Q$1098</definedName>
    <definedName name="SCDPT1_2509999999_14" localSheetId="0">GMIC_22A_SCDPT1!$R$1098</definedName>
    <definedName name="SCDPT1_2509999999_15" localSheetId="0">GMIC_22A_SCDPT1!$S$1098</definedName>
    <definedName name="SCDPT1_2509999999_19" localSheetId="0">GMIC_22A_SCDPT1!$W$1098</definedName>
    <definedName name="SCDPT1_2509999999_20" localSheetId="0">GMIC_22A_SCDPT1!$X$1098</definedName>
    <definedName name="SCDPT1_2509999999_7" localSheetId="0">GMIC_22A_SCDPT1!$K$1098</definedName>
    <definedName name="SCDPT1_2509999999_9" localSheetId="0">GMIC_22A_SCDPT1!$M$1098</definedName>
    <definedName name="SCDPT1F_000001A_1" localSheetId="1">GMIC_22A_SCDPT1F!$D$7</definedName>
    <definedName name="SCDPT1F_000001A_2" localSheetId="1">GMIC_22A_SCDPT1F!$E$7</definedName>
    <definedName name="SCDPT1F_000001A_3" localSheetId="1">GMIC_22A_SCDPT1F!$F$7</definedName>
    <definedName name="SCDPT1F_000001A_4" localSheetId="1">GMIC_22A_SCDPT1F!$G$7</definedName>
    <definedName name="SCDPT1F_000001A_5" localSheetId="1">GMIC_22A_SCDPT1F!$H$7</definedName>
    <definedName name="SCDPT1F_000001A_6" localSheetId="1">GMIC_22A_SCDPT1F!$I$7</definedName>
    <definedName name="SCDPT1F_000001A_7" localSheetId="1">GMIC_22A_SCDPT1F!$J$7</definedName>
    <definedName name="SCDPT1F_000001B_1" localSheetId="1">GMIC_22A_SCDPT1F!$D$8</definedName>
    <definedName name="SCDPT1F_000001B_2" localSheetId="1">GMIC_22A_SCDPT1F!$E$8</definedName>
    <definedName name="SCDPT1F_000001B_3" localSheetId="1">GMIC_22A_SCDPT1F!$F$8</definedName>
    <definedName name="SCDPT1F_000001C_1" localSheetId="1">GMIC_22A_SCDPT1F!$D$9</definedName>
    <definedName name="SCDPT1F_000001C_2" localSheetId="1">GMIC_22A_SCDPT1F!$E$9</definedName>
    <definedName name="SCDPT1F_000001C_3" localSheetId="1">GMIC_22A_SCDPT1F!$F$9</definedName>
    <definedName name="SCDPT1F_000001D_1" localSheetId="1">GMIC_22A_SCDPT1F!$D$10</definedName>
    <definedName name="SCDPT1F_000001D_2" localSheetId="1">GMIC_22A_SCDPT1F!$E$10</definedName>
    <definedName name="SCDPT1F_000001D_3" localSheetId="1">GMIC_22A_SCDPT1F!$F$10</definedName>
    <definedName name="SCDPT1F_000001E_1" localSheetId="1">GMIC_22A_SCDPT1F!$D$11</definedName>
    <definedName name="SCDPT1F_000001E_2" localSheetId="1">GMIC_22A_SCDPT1F!$E$11</definedName>
    <definedName name="SCDPT1F_000001E_3" localSheetId="1">GMIC_22A_SCDPT1F!$F$11</definedName>
    <definedName name="SCDPT1F_000001F_1" localSheetId="1">GMIC_22A_SCDPT1F!$D$12</definedName>
    <definedName name="SCDPT2SN1_4010000000_Range" localSheetId="2">GMIC_22A_SCDPT2SN1!$B$7:$AG$9</definedName>
    <definedName name="SCDPT2SN1_4019999999_10" localSheetId="2">GMIC_22A_SCDPT2SN1!$L$10</definedName>
    <definedName name="SCDPT2SN1_4019999999_11" localSheetId="2">GMIC_22A_SCDPT2SN1!$M$10</definedName>
    <definedName name="SCDPT2SN1_4019999999_12" localSheetId="2">GMIC_22A_SCDPT2SN1!$N$10</definedName>
    <definedName name="SCDPT2SN1_4019999999_13" localSheetId="2">GMIC_22A_SCDPT2SN1!$O$10</definedName>
    <definedName name="SCDPT2SN1_4019999999_14" localSheetId="2">GMIC_22A_SCDPT2SN1!$P$10</definedName>
    <definedName name="SCDPT2SN1_4019999999_15" localSheetId="2">GMIC_22A_SCDPT2SN1!$Q$10</definedName>
    <definedName name="SCDPT2SN1_4019999999_16" localSheetId="2">GMIC_22A_SCDPT2SN1!$R$10</definedName>
    <definedName name="SCDPT2SN1_4019999999_17" localSheetId="2">GMIC_22A_SCDPT2SN1!$S$10</definedName>
    <definedName name="SCDPT2SN1_4019999999_18" localSheetId="2">GMIC_22A_SCDPT2SN1!$T$10</definedName>
    <definedName name="SCDPT2SN1_4019999999_19" localSheetId="2">GMIC_22A_SCDPT2SN1!$U$10</definedName>
    <definedName name="SCDPT2SN1_4019999999_8" localSheetId="2">GMIC_22A_SCDPT2SN1!$J$10</definedName>
    <definedName name="SCDPT2SN1_401BEGINNG_1" localSheetId="2">GMIC_22A_SCDPT2SN1!$C$7</definedName>
    <definedName name="SCDPT2SN1_401BEGINNG_10" localSheetId="2">GMIC_22A_SCDPT2SN1!$L$7</definedName>
    <definedName name="SCDPT2SN1_401BEGINNG_11" localSheetId="2">GMIC_22A_SCDPT2SN1!$M$7</definedName>
    <definedName name="SCDPT2SN1_401BEGINNG_12" localSheetId="2">GMIC_22A_SCDPT2SN1!$N$7</definedName>
    <definedName name="SCDPT2SN1_401BEGINNG_13" localSheetId="2">GMIC_22A_SCDPT2SN1!$O$7</definedName>
    <definedName name="SCDPT2SN1_401BEGINNG_14" localSheetId="2">GMIC_22A_SCDPT2SN1!$P$7</definedName>
    <definedName name="SCDPT2SN1_401BEGINNG_15" localSheetId="2">GMIC_22A_SCDPT2SN1!$Q$7</definedName>
    <definedName name="SCDPT2SN1_401BEGINNG_16" localSheetId="2">GMIC_22A_SCDPT2SN1!$R$7</definedName>
    <definedName name="SCDPT2SN1_401BEGINNG_17" localSheetId="2">GMIC_22A_SCDPT2SN1!$S$7</definedName>
    <definedName name="SCDPT2SN1_401BEGINNG_18" localSheetId="2">GMIC_22A_SCDPT2SN1!$T$7</definedName>
    <definedName name="SCDPT2SN1_401BEGINNG_19" localSheetId="2">GMIC_22A_SCDPT2SN1!$U$7</definedName>
    <definedName name="SCDPT2SN1_401BEGINNG_2" localSheetId="2">GMIC_22A_SCDPT2SN1!$D$7</definedName>
    <definedName name="SCDPT2SN1_401BEGINNG_20.01" localSheetId="2">GMIC_22A_SCDPT2SN1!$V$7</definedName>
    <definedName name="SCDPT2SN1_401BEGINNG_20.02" localSheetId="2">GMIC_22A_SCDPT2SN1!$W$7</definedName>
    <definedName name="SCDPT2SN1_401BEGINNG_20.03" localSheetId="2">GMIC_22A_SCDPT2SN1!$X$7</definedName>
    <definedName name="SCDPT2SN1_401BEGINNG_21" localSheetId="2">GMIC_22A_SCDPT2SN1!$Y$7</definedName>
    <definedName name="SCDPT2SN1_401BEGINNG_22" localSheetId="2">GMIC_22A_SCDPT2SN1!$Z$7</definedName>
    <definedName name="SCDPT2SN1_401BEGINNG_23" localSheetId="2">GMIC_22A_SCDPT2SN1!$AA$7</definedName>
    <definedName name="SCDPT2SN1_401BEGINNG_24" localSheetId="2">GMIC_22A_SCDPT2SN1!$AB$7</definedName>
    <definedName name="SCDPT2SN1_401BEGINNG_25" localSheetId="2">GMIC_22A_SCDPT2SN1!$AC$7</definedName>
    <definedName name="SCDPT2SN1_401BEGINNG_26" localSheetId="2">GMIC_22A_SCDPT2SN1!$AD$7</definedName>
    <definedName name="SCDPT2SN1_401BEGINNG_27" localSheetId="2">GMIC_22A_SCDPT2SN1!$AE$7</definedName>
    <definedName name="SCDPT2SN1_401BEGINNG_28" localSheetId="2">GMIC_22A_SCDPT2SN1!$AF$7</definedName>
    <definedName name="SCDPT2SN1_401BEGINNG_29" localSheetId="2">GMIC_22A_SCDPT2SN1!$AG$7</definedName>
    <definedName name="SCDPT2SN1_401BEGINNG_3" localSheetId="2">GMIC_22A_SCDPT2SN1!$E$7</definedName>
    <definedName name="SCDPT2SN1_401BEGINNG_4" localSheetId="2">GMIC_22A_SCDPT2SN1!$F$7</definedName>
    <definedName name="SCDPT2SN1_401BEGINNG_5" localSheetId="2">GMIC_22A_SCDPT2SN1!$G$7</definedName>
    <definedName name="SCDPT2SN1_401BEGINNG_6" localSheetId="2">GMIC_22A_SCDPT2SN1!$H$7</definedName>
    <definedName name="SCDPT2SN1_401BEGINNG_7" localSheetId="2">GMIC_22A_SCDPT2SN1!$I$7</definedName>
    <definedName name="SCDPT2SN1_401BEGINNG_8" localSheetId="2">GMIC_22A_SCDPT2SN1!$J$7</definedName>
    <definedName name="SCDPT2SN1_401BEGINNG_9" localSheetId="2">GMIC_22A_SCDPT2SN1!$K$7</definedName>
    <definedName name="SCDPT2SN1_401ENDINGG_10" localSheetId="2">GMIC_22A_SCDPT2SN1!$L$9</definedName>
    <definedName name="SCDPT2SN1_401ENDINGG_11" localSheetId="2">GMIC_22A_SCDPT2SN1!$M$9</definedName>
    <definedName name="SCDPT2SN1_401ENDINGG_12" localSheetId="2">GMIC_22A_SCDPT2SN1!$N$9</definedName>
    <definedName name="SCDPT2SN1_401ENDINGG_13" localSheetId="2">GMIC_22A_SCDPT2SN1!$O$9</definedName>
    <definedName name="SCDPT2SN1_401ENDINGG_14" localSheetId="2">GMIC_22A_SCDPT2SN1!$P$9</definedName>
    <definedName name="SCDPT2SN1_401ENDINGG_15" localSheetId="2">GMIC_22A_SCDPT2SN1!$Q$9</definedName>
    <definedName name="SCDPT2SN1_401ENDINGG_16" localSheetId="2">GMIC_22A_SCDPT2SN1!$R$9</definedName>
    <definedName name="SCDPT2SN1_401ENDINGG_17" localSheetId="2">GMIC_22A_SCDPT2SN1!$S$9</definedName>
    <definedName name="SCDPT2SN1_401ENDINGG_18" localSheetId="2">GMIC_22A_SCDPT2SN1!$T$9</definedName>
    <definedName name="SCDPT2SN1_401ENDINGG_19" localSheetId="2">GMIC_22A_SCDPT2SN1!$U$9</definedName>
    <definedName name="SCDPT2SN1_401ENDINGG_2" localSheetId="2">GMIC_22A_SCDPT2SN1!$D$9</definedName>
    <definedName name="SCDPT2SN1_401ENDINGG_20.01" localSheetId="2">GMIC_22A_SCDPT2SN1!$V$9</definedName>
    <definedName name="SCDPT2SN1_401ENDINGG_20.02" localSheetId="2">GMIC_22A_SCDPT2SN1!$W$9</definedName>
    <definedName name="SCDPT2SN1_401ENDINGG_20.03" localSheetId="2">GMIC_22A_SCDPT2SN1!$X$9</definedName>
    <definedName name="SCDPT2SN1_401ENDINGG_21" localSheetId="2">GMIC_22A_SCDPT2SN1!$Y$9</definedName>
    <definedName name="SCDPT2SN1_401ENDINGG_22" localSheetId="2">GMIC_22A_SCDPT2SN1!$Z$9</definedName>
    <definedName name="SCDPT2SN1_401ENDINGG_23" localSheetId="2">GMIC_22A_SCDPT2SN1!$AA$9</definedName>
    <definedName name="SCDPT2SN1_401ENDINGG_24" localSheetId="2">GMIC_22A_SCDPT2SN1!$AB$9</definedName>
    <definedName name="SCDPT2SN1_401ENDINGG_25" localSheetId="2">GMIC_22A_SCDPT2SN1!$AC$9</definedName>
    <definedName name="SCDPT2SN1_401ENDINGG_26" localSheetId="2">GMIC_22A_SCDPT2SN1!$AD$9</definedName>
    <definedName name="SCDPT2SN1_401ENDINGG_27" localSheetId="2">GMIC_22A_SCDPT2SN1!$AE$9</definedName>
    <definedName name="SCDPT2SN1_401ENDINGG_28" localSheetId="2">GMIC_22A_SCDPT2SN1!$AF$9</definedName>
    <definedName name="SCDPT2SN1_401ENDINGG_29" localSheetId="2">GMIC_22A_SCDPT2SN1!$AG$9</definedName>
    <definedName name="SCDPT2SN1_401ENDINGG_3" localSheetId="2">GMIC_22A_SCDPT2SN1!$E$9</definedName>
    <definedName name="SCDPT2SN1_401ENDINGG_4" localSheetId="2">GMIC_22A_SCDPT2SN1!$F$9</definedName>
    <definedName name="SCDPT2SN1_401ENDINGG_5" localSheetId="2">GMIC_22A_SCDPT2SN1!$G$9</definedName>
    <definedName name="SCDPT2SN1_401ENDINGG_6" localSheetId="2">GMIC_22A_SCDPT2SN1!$H$9</definedName>
    <definedName name="SCDPT2SN1_401ENDINGG_7" localSheetId="2">GMIC_22A_SCDPT2SN1!$I$9</definedName>
    <definedName name="SCDPT2SN1_401ENDINGG_8" localSheetId="2">GMIC_22A_SCDPT2SN1!$J$9</definedName>
    <definedName name="SCDPT2SN1_401ENDINGG_9" localSheetId="2">GMIC_22A_SCDPT2SN1!$K$9</definedName>
    <definedName name="SCDPT2SN1_4020000000_Range" localSheetId="2">GMIC_22A_SCDPT2SN1!$B$11:$AG$13</definedName>
    <definedName name="SCDPT2SN1_4029999999_10" localSheetId="2">GMIC_22A_SCDPT2SN1!$L$14</definedName>
    <definedName name="SCDPT2SN1_4029999999_11" localSheetId="2">GMIC_22A_SCDPT2SN1!$M$14</definedName>
    <definedName name="SCDPT2SN1_4029999999_12" localSheetId="2">GMIC_22A_SCDPT2SN1!$N$14</definedName>
    <definedName name="SCDPT2SN1_4029999999_13" localSheetId="2">GMIC_22A_SCDPT2SN1!$O$14</definedName>
    <definedName name="SCDPT2SN1_4029999999_14" localSheetId="2">GMIC_22A_SCDPT2SN1!$P$14</definedName>
    <definedName name="SCDPT2SN1_4029999999_15" localSheetId="2">GMIC_22A_SCDPT2SN1!$Q$14</definedName>
    <definedName name="SCDPT2SN1_4029999999_16" localSheetId="2">GMIC_22A_SCDPT2SN1!$R$14</definedName>
    <definedName name="SCDPT2SN1_4029999999_17" localSheetId="2">GMIC_22A_SCDPT2SN1!$S$14</definedName>
    <definedName name="SCDPT2SN1_4029999999_18" localSheetId="2">GMIC_22A_SCDPT2SN1!$T$14</definedName>
    <definedName name="SCDPT2SN1_4029999999_19" localSheetId="2">GMIC_22A_SCDPT2SN1!$U$14</definedName>
    <definedName name="SCDPT2SN1_4029999999_8" localSheetId="2">GMIC_22A_SCDPT2SN1!$J$14</definedName>
    <definedName name="SCDPT2SN1_402BEGINNG_1" localSheetId="2">GMIC_22A_SCDPT2SN1!$C$11</definedName>
    <definedName name="SCDPT2SN1_402BEGINNG_10" localSheetId="2">GMIC_22A_SCDPT2SN1!$L$11</definedName>
    <definedName name="SCDPT2SN1_402BEGINNG_11" localSheetId="2">GMIC_22A_SCDPT2SN1!$M$11</definedName>
    <definedName name="SCDPT2SN1_402BEGINNG_12" localSheetId="2">GMIC_22A_SCDPT2SN1!$N$11</definedName>
    <definedName name="SCDPT2SN1_402BEGINNG_13" localSheetId="2">GMIC_22A_SCDPT2SN1!$O$11</definedName>
    <definedName name="SCDPT2SN1_402BEGINNG_14" localSheetId="2">GMIC_22A_SCDPT2SN1!$P$11</definedName>
    <definedName name="SCDPT2SN1_402BEGINNG_15" localSheetId="2">GMIC_22A_SCDPT2SN1!$Q$11</definedName>
    <definedName name="SCDPT2SN1_402BEGINNG_16" localSheetId="2">GMIC_22A_SCDPT2SN1!$R$11</definedName>
    <definedName name="SCDPT2SN1_402BEGINNG_17" localSheetId="2">GMIC_22A_SCDPT2SN1!$S$11</definedName>
    <definedName name="SCDPT2SN1_402BEGINNG_18" localSheetId="2">GMIC_22A_SCDPT2SN1!$T$11</definedName>
    <definedName name="SCDPT2SN1_402BEGINNG_19" localSheetId="2">GMIC_22A_SCDPT2SN1!$U$11</definedName>
    <definedName name="SCDPT2SN1_402BEGINNG_2" localSheetId="2">GMIC_22A_SCDPT2SN1!$D$11</definedName>
    <definedName name="SCDPT2SN1_402BEGINNG_20.01" localSheetId="2">GMIC_22A_SCDPT2SN1!$V$11</definedName>
    <definedName name="SCDPT2SN1_402BEGINNG_20.02" localSheetId="2">GMIC_22A_SCDPT2SN1!$W$11</definedName>
    <definedName name="SCDPT2SN1_402BEGINNG_20.03" localSheetId="2">GMIC_22A_SCDPT2SN1!$X$11</definedName>
    <definedName name="SCDPT2SN1_402BEGINNG_21" localSheetId="2">GMIC_22A_SCDPT2SN1!$Y$11</definedName>
    <definedName name="SCDPT2SN1_402BEGINNG_22" localSheetId="2">GMIC_22A_SCDPT2SN1!$Z$11</definedName>
    <definedName name="SCDPT2SN1_402BEGINNG_23" localSheetId="2">GMIC_22A_SCDPT2SN1!$AA$11</definedName>
    <definedName name="SCDPT2SN1_402BEGINNG_24" localSheetId="2">GMIC_22A_SCDPT2SN1!$AB$11</definedName>
    <definedName name="SCDPT2SN1_402BEGINNG_25" localSheetId="2">GMIC_22A_SCDPT2SN1!$AC$11</definedName>
    <definedName name="SCDPT2SN1_402BEGINNG_26" localSheetId="2">GMIC_22A_SCDPT2SN1!$AD$11</definedName>
    <definedName name="SCDPT2SN1_402BEGINNG_27" localSheetId="2">GMIC_22A_SCDPT2SN1!$AE$11</definedName>
    <definedName name="SCDPT2SN1_402BEGINNG_28" localSheetId="2">GMIC_22A_SCDPT2SN1!$AF$11</definedName>
    <definedName name="SCDPT2SN1_402BEGINNG_29" localSheetId="2">GMIC_22A_SCDPT2SN1!$AG$11</definedName>
    <definedName name="SCDPT2SN1_402BEGINNG_3" localSheetId="2">GMIC_22A_SCDPT2SN1!$E$11</definedName>
    <definedName name="SCDPT2SN1_402BEGINNG_4" localSheetId="2">GMIC_22A_SCDPT2SN1!$F$11</definedName>
    <definedName name="SCDPT2SN1_402BEGINNG_5" localSheetId="2">GMIC_22A_SCDPT2SN1!$G$11</definedName>
    <definedName name="SCDPT2SN1_402BEGINNG_6" localSheetId="2">GMIC_22A_SCDPT2SN1!$H$11</definedName>
    <definedName name="SCDPT2SN1_402BEGINNG_7" localSheetId="2">GMIC_22A_SCDPT2SN1!$I$11</definedName>
    <definedName name="SCDPT2SN1_402BEGINNG_8" localSheetId="2">GMIC_22A_SCDPT2SN1!$J$11</definedName>
    <definedName name="SCDPT2SN1_402BEGINNG_9" localSheetId="2">GMIC_22A_SCDPT2SN1!$K$11</definedName>
    <definedName name="SCDPT2SN1_402ENDINGG_10" localSheetId="2">GMIC_22A_SCDPT2SN1!$L$13</definedName>
    <definedName name="SCDPT2SN1_402ENDINGG_11" localSheetId="2">GMIC_22A_SCDPT2SN1!$M$13</definedName>
    <definedName name="SCDPT2SN1_402ENDINGG_12" localSheetId="2">GMIC_22A_SCDPT2SN1!$N$13</definedName>
    <definedName name="SCDPT2SN1_402ENDINGG_13" localSheetId="2">GMIC_22A_SCDPT2SN1!$O$13</definedName>
    <definedName name="SCDPT2SN1_402ENDINGG_14" localSheetId="2">GMIC_22A_SCDPT2SN1!$P$13</definedName>
    <definedName name="SCDPT2SN1_402ENDINGG_15" localSheetId="2">GMIC_22A_SCDPT2SN1!$Q$13</definedName>
    <definedName name="SCDPT2SN1_402ENDINGG_16" localSheetId="2">GMIC_22A_SCDPT2SN1!$R$13</definedName>
    <definedName name="SCDPT2SN1_402ENDINGG_17" localSheetId="2">GMIC_22A_SCDPT2SN1!$S$13</definedName>
    <definedName name="SCDPT2SN1_402ENDINGG_18" localSheetId="2">GMIC_22A_SCDPT2SN1!$T$13</definedName>
    <definedName name="SCDPT2SN1_402ENDINGG_19" localSheetId="2">GMIC_22A_SCDPT2SN1!$U$13</definedName>
    <definedName name="SCDPT2SN1_402ENDINGG_2" localSheetId="2">GMIC_22A_SCDPT2SN1!$D$13</definedName>
    <definedName name="SCDPT2SN1_402ENDINGG_20.01" localSheetId="2">GMIC_22A_SCDPT2SN1!$V$13</definedName>
    <definedName name="SCDPT2SN1_402ENDINGG_20.02" localSheetId="2">GMIC_22A_SCDPT2SN1!$W$13</definedName>
    <definedName name="SCDPT2SN1_402ENDINGG_20.03" localSheetId="2">GMIC_22A_SCDPT2SN1!$X$13</definedName>
    <definedName name="SCDPT2SN1_402ENDINGG_21" localSheetId="2">GMIC_22A_SCDPT2SN1!$Y$13</definedName>
    <definedName name="SCDPT2SN1_402ENDINGG_22" localSheetId="2">GMIC_22A_SCDPT2SN1!$Z$13</definedName>
    <definedName name="SCDPT2SN1_402ENDINGG_23" localSheetId="2">GMIC_22A_SCDPT2SN1!$AA$13</definedName>
    <definedName name="SCDPT2SN1_402ENDINGG_24" localSheetId="2">GMIC_22A_SCDPT2SN1!$AB$13</definedName>
    <definedName name="SCDPT2SN1_402ENDINGG_25" localSheetId="2">GMIC_22A_SCDPT2SN1!$AC$13</definedName>
    <definedName name="SCDPT2SN1_402ENDINGG_26" localSheetId="2">GMIC_22A_SCDPT2SN1!$AD$13</definedName>
    <definedName name="SCDPT2SN1_402ENDINGG_27" localSheetId="2">GMIC_22A_SCDPT2SN1!$AE$13</definedName>
    <definedName name="SCDPT2SN1_402ENDINGG_28" localSheetId="2">GMIC_22A_SCDPT2SN1!$AF$13</definedName>
    <definedName name="SCDPT2SN1_402ENDINGG_29" localSheetId="2">GMIC_22A_SCDPT2SN1!$AG$13</definedName>
    <definedName name="SCDPT2SN1_402ENDINGG_3" localSheetId="2">GMIC_22A_SCDPT2SN1!$E$13</definedName>
    <definedName name="SCDPT2SN1_402ENDINGG_4" localSheetId="2">GMIC_22A_SCDPT2SN1!$F$13</definedName>
    <definedName name="SCDPT2SN1_402ENDINGG_5" localSheetId="2">GMIC_22A_SCDPT2SN1!$G$13</definedName>
    <definedName name="SCDPT2SN1_402ENDINGG_6" localSheetId="2">GMIC_22A_SCDPT2SN1!$H$13</definedName>
    <definedName name="SCDPT2SN1_402ENDINGG_7" localSheetId="2">GMIC_22A_SCDPT2SN1!$I$13</definedName>
    <definedName name="SCDPT2SN1_402ENDINGG_8" localSheetId="2">GMIC_22A_SCDPT2SN1!$J$13</definedName>
    <definedName name="SCDPT2SN1_402ENDINGG_9" localSheetId="2">GMIC_22A_SCDPT2SN1!$K$13</definedName>
    <definedName name="SCDPT2SN1_4109999999_10" localSheetId="2">GMIC_22A_SCDPT2SN1!$L$15</definedName>
    <definedName name="SCDPT2SN1_4109999999_11" localSheetId="2">GMIC_22A_SCDPT2SN1!$M$15</definedName>
    <definedName name="SCDPT2SN1_4109999999_12" localSheetId="2">GMIC_22A_SCDPT2SN1!$N$15</definedName>
    <definedName name="SCDPT2SN1_4109999999_13" localSheetId="2">GMIC_22A_SCDPT2SN1!$O$15</definedName>
    <definedName name="SCDPT2SN1_4109999999_14" localSheetId="2">GMIC_22A_SCDPT2SN1!$P$15</definedName>
    <definedName name="SCDPT2SN1_4109999999_15" localSheetId="2">GMIC_22A_SCDPT2SN1!$Q$15</definedName>
    <definedName name="SCDPT2SN1_4109999999_16" localSheetId="2">GMIC_22A_SCDPT2SN1!$R$15</definedName>
    <definedName name="SCDPT2SN1_4109999999_17" localSheetId="2">GMIC_22A_SCDPT2SN1!$S$15</definedName>
    <definedName name="SCDPT2SN1_4109999999_18" localSheetId="2">GMIC_22A_SCDPT2SN1!$T$15</definedName>
    <definedName name="SCDPT2SN1_4109999999_19" localSheetId="2">GMIC_22A_SCDPT2SN1!$U$15</definedName>
    <definedName name="SCDPT2SN1_4109999999_8" localSheetId="2">GMIC_22A_SCDPT2SN1!$J$15</definedName>
    <definedName name="SCDPT2SN1_4310000000_Range" localSheetId="2">GMIC_22A_SCDPT2SN1!$B$16:$AG$18</definedName>
    <definedName name="SCDPT2SN1_4319999999_10" localSheetId="2">GMIC_22A_SCDPT2SN1!$L$19</definedName>
    <definedName name="SCDPT2SN1_4319999999_11" localSheetId="2">GMIC_22A_SCDPT2SN1!$M$19</definedName>
    <definedName name="SCDPT2SN1_4319999999_12" localSheetId="2">GMIC_22A_SCDPT2SN1!$N$19</definedName>
    <definedName name="SCDPT2SN1_4319999999_13" localSheetId="2">GMIC_22A_SCDPT2SN1!$O$19</definedName>
    <definedName name="SCDPT2SN1_4319999999_14" localSheetId="2">GMIC_22A_SCDPT2SN1!$P$19</definedName>
    <definedName name="SCDPT2SN1_4319999999_15" localSheetId="2">GMIC_22A_SCDPT2SN1!$Q$19</definedName>
    <definedName name="SCDPT2SN1_4319999999_16" localSheetId="2">GMIC_22A_SCDPT2SN1!$R$19</definedName>
    <definedName name="SCDPT2SN1_4319999999_17" localSheetId="2">GMIC_22A_SCDPT2SN1!$S$19</definedName>
    <definedName name="SCDPT2SN1_4319999999_18" localSheetId="2">GMIC_22A_SCDPT2SN1!$T$19</definedName>
    <definedName name="SCDPT2SN1_4319999999_19" localSheetId="2">GMIC_22A_SCDPT2SN1!$U$19</definedName>
    <definedName name="SCDPT2SN1_4319999999_8" localSheetId="2">GMIC_22A_SCDPT2SN1!$J$19</definedName>
    <definedName name="SCDPT2SN1_431BEGINNG_1" localSheetId="2">GMIC_22A_SCDPT2SN1!$C$16</definedName>
    <definedName name="SCDPT2SN1_431BEGINNG_10" localSheetId="2">GMIC_22A_SCDPT2SN1!$L$16</definedName>
    <definedName name="SCDPT2SN1_431BEGINNG_11" localSheetId="2">GMIC_22A_SCDPT2SN1!$M$16</definedName>
    <definedName name="SCDPT2SN1_431BEGINNG_12" localSheetId="2">GMIC_22A_SCDPT2SN1!$N$16</definedName>
    <definedName name="SCDPT2SN1_431BEGINNG_13" localSheetId="2">GMIC_22A_SCDPT2SN1!$O$16</definedName>
    <definedName name="SCDPT2SN1_431BEGINNG_14" localSheetId="2">GMIC_22A_SCDPT2SN1!$P$16</definedName>
    <definedName name="SCDPT2SN1_431BEGINNG_15" localSheetId="2">GMIC_22A_SCDPT2SN1!$Q$16</definedName>
    <definedName name="SCDPT2SN1_431BEGINNG_16" localSheetId="2">GMIC_22A_SCDPT2SN1!$R$16</definedName>
    <definedName name="SCDPT2SN1_431BEGINNG_17" localSheetId="2">GMIC_22A_SCDPT2SN1!$S$16</definedName>
    <definedName name="SCDPT2SN1_431BEGINNG_18" localSheetId="2">GMIC_22A_SCDPT2SN1!$T$16</definedName>
    <definedName name="SCDPT2SN1_431BEGINNG_19" localSheetId="2">GMIC_22A_SCDPT2SN1!$U$16</definedName>
    <definedName name="SCDPT2SN1_431BEGINNG_2" localSheetId="2">GMIC_22A_SCDPT2SN1!$D$16</definedName>
    <definedName name="SCDPT2SN1_431BEGINNG_20.01" localSheetId="2">GMIC_22A_SCDPT2SN1!$V$16</definedName>
    <definedName name="SCDPT2SN1_431BEGINNG_20.02" localSheetId="2">GMIC_22A_SCDPT2SN1!$W$16</definedName>
    <definedName name="SCDPT2SN1_431BEGINNG_20.03" localSheetId="2">GMIC_22A_SCDPT2SN1!$X$16</definedName>
    <definedName name="SCDPT2SN1_431BEGINNG_21" localSheetId="2">GMIC_22A_SCDPT2SN1!$Y$16</definedName>
    <definedName name="SCDPT2SN1_431BEGINNG_22" localSheetId="2">GMIC_22A_SCDPT2SN1!$Z$16</definedName>
    <definedName name="SCDPT2SN1_431BEGINNG_23" localSheetId="2">GMIC_22A_SCDPT2SN1!$AA$16</definedName>
    <definedName name="SCDPT2SN1_431BEGINNG_24" localSheetId="2">GMIC_22A_SCDPT2SN1!$AB$16</definedName>
    <definedName name="SCDPT2SN1_431BEGINNG_25" localSheetId="2">GMIC_22A_SCDPT2SN1!$AC$16</definedName>
    <definedName name="SCDPT2SN1_431BEGINNG_26" localSheetId="2">GMIC_22A_SCDPT2SN1!$AD$16</definedName>
    <definedName name="SCDPT2SN1_431BEGINNG_27" localSheetId="2">GMIC_22A_SCDPT2SN1!$AE$16</definedName>
    <definedName name="SCDPT2SN1_431BEGINNG_28" localSheetId="2">GMIC_22A_SCDPT2SN1!$AF$16</definedName>
    <definedName name="SCDPT2SN1_431BEGINNG_29" localSheetId="2">GMIC_22A_SCDPT2SN1!$AG$16</definedName>
    <definedName name="SCDPT2SN1_431BEGINNG_3" localSheetId="2">GMIC_22A_SCDPT2SN1!$E$16</definedName>
    <definedName name="SCDPT2SN1_431BEGINNG_4" localSheetId="2">GMIC_22A_SCDPT2SN1!$F$16</definedName>
    <definedName name="SCDPT2SN1_431BEGINNG_5" localSheetId="2">GMIC_22A_SCDPT2SN1!$G$16</definedName>
    <definedName name="SCDPT2SN1_431BEGINNG_6" localSheetId="2">GMIC_22A_SCDPT2SN1!$H$16</definedName>
    <definedName name="SCDPT2SN1_431BEGINNG_7" localSheetId="2">GMIC_22A_SCDPT2SN1!$I$16</definedName>
    <definedName name="SCDPT2SN1_431BEGINNG_8" localSheetId="2">GMIC_22A_SCDPT2SN1!$J$16</definedName>
    <definedName name="SCDPT2SN1_431BEGINNG_9" localSheetId="2">GMIC_22A_SCDPT2SN1!$K$16</definedName>
    <definedName name="SCDPT2SN1_431ENDINGG_10" localSheetId="2">GMIC_22A_SCDPT2SN1!$L$18</definedName>
    <definedName name="SCDPT2SN1_431ENDINGG_11" localSheetId="2">GMIC_22A_SCDPT2SN1!$M$18</definedName>
    <definedName name="SCDPT2SN1_431ENDINGG_12" localSheetId="2">GMIC_22A_SCDPT2SN1!$N$18</definedName>
    <definedName name="SCDPT2SN1_431ENDINGG_13" localSheetId="2">GMIC_22A_SCDPT2SN1!$O$18</definedName>
    <definedName name="SCDPT2SN1_431ENDINGG_14" localSheetId="2">GMIC_22A_SCDPT2SN1!$P$18</definedName>
    <definedName name="SCDPT2SN1_431ENDINGG_15" localSheetId="2">GMIC_22A_SCDPT2SN1!$Q$18</definedName>
    <definedName name="SCDPT2SN1_431ENDINGG_16" localSheetId="2">GMIC_22A_SCDPT2SN1!$R$18</definedName>
    <definedName name="SCDPT2SN1_431ENDINGG_17" localSheetId="2">GMIC_22A_SCDPT2SN1!$S$18</definedName>
    <definedName name="SCDPT2SN1_431ENDINGG_18" localSheetId="2">GMIC_22A_SCDPT2SN1!$T$18</definedName>
    <definedName name="SCDPT2SN1_431ENDINGG_19" localSheetId="2">GMIC_22A_SCDPT2SN1!$U$18</definedName>
    <definedName name="SCDPT2SN1_431ENDINGG_2" localSheetId="2">GMIC_22A_SCDPT2SN1!$D$18</definedName>
    <definedName name="SCDPT2SN1_431ENDINGG_20.01" localSheetId="2">GMIC_22A_SCDPT2SN1!$V$18</definedName>
    <definedName name="SCDPT2SN1_431ENDINGG_20.02" localSheetId="2">GMIC_22A_SCDPT2SN1!$W$18</definedName>
    <definedName name="SCDPT2SN1_431ENDINGG_20.03" localSheetId="2">GMIC_22A_SCDPT2SN1!$X$18</definedName>
    <definedName name="SCDPT2SN1_431ENDINGG_21" localSheetId="2">GMIC_22A_SCDPT2SN1!$Y$18</definedName>
    <definedName name="SCDPT2SN1_431ENDINGG_22" localSheetId="2">GMIC_22A_SCDPT2SN1!$Z$18</definedName>
    <definedName name="SCDPT2SN1_431ENDINGG_23" localSheetId="2">GMIC_22A_SCDPT2SN1!$AA$18</definedName>
    <definedName name="SCDPT2SN1_431ENDINGG_24" localSheetId="2">GMIC_22A_SCDPT2SN1!$AB$18</definedName>
    <definedName name="SCDPT2SN1_431ENDINGG_25" localSheetId="2">GMIC_22A_SCDPT2SN1!$AC$18</definedName>
    <definedName name="SCDPT2SN1_431ENDINGG_26" localSheetId="2">GMIC_22A_SCDPT2SN1!$AD$18</definedName>
    <definedName name="SCDPT2SN1_431ENDINGG_27" localSheetId="2">GMIC_22A_SCDPT2SN1!$AE$18</definedName>
    <definedName name="SCDPT2SN1_431ENDINGG_28" localSheetId="2">GMIC_22A_SCDPT2SN1!$AF$18</definedName>
    <definedName name="SCDPT2SN1_431ENDINGG_29" localSheetId="2">GMIC_22A_SCDPT2SN1!$AG$18</definedName>
    <definedName name="SCDPT2SN1_431ENDINGG_3" localSheetId="2">GMIC_22A_SCDPT2SN1!$E$18</definedName>
    <definedName name="SCDPT2SN1_431ENDINGG_4" localSheetId="2">GMIC_22A_SCDPT2SN1!$F$18</definedName>
    <definedName name="SCDPT2SN1_431ENDINGG_5" localSheetId="2">GMIC_22A_SCDPT2SN1!$G$18</definedName>
    <definedName name="SCDPT2SN1_431ENDINGG_6" localSheetId="2">GMIC_22A_SCDPT2SN1!$H$18</definedName>
    <definedName name="SCDPT2SN1_431ENDINGG_7" localSheetId="2">GMIC_22A_SCDPT2SN1!$I$18</definedName>
    <definedName name="SCDPT2SN1_431ENDINGG_8" localSheetId="2">GMIC_22A_SCDPT2SN1!$J$18</definedName>
    <definedName name="SCDPT2SN1_431ENDINGG_9" localSheetId="2">GMIC_22A_SCDPT2SN1!$K$18</definedName>
    <definedName name="SCDPT2SN1_4320000000_Range" localSheetId="2">GMIC_22A_SCDPT2SN1!$B$20:$AG$22</definedName>
    <definedName name="SCDPT2SN1_4329999999_10" localSheetId="2">GMIC_22A_SCDPT2SN1!$L$23</definedName>
    <definedName name="SCDPT2SN1_4329999999_11" localSheetId="2">GMIC_22A_SCDPT2SN1!$M$23</definedName>
    <definedName name="SCDPT2SN1_4329999999_12" localSheetId="2">GMIC_22A_SCDPT2SN1!$N$23</definedName>
    <definedName name="SCDPT2SN1_4329999999_13" localSheetId="2">GMIC_22A_SCDPT2SN1!$O$23</definedName>
    <definedName name="SCDPT2SN1_4329999999_14" localSheetId="2">GMIC_22A_SCDPT2SN1!$P$23</definedName>
    <definedName name="SCDPT2SN1_4329999999_15" localSheetId="2">GMIC_22A_SCDPT2SN1!$Q$23</definedName>
    <definedName name="SCDPT2SN1_4329999999_16" localSheetId="2">GMIC_22A_SCDPT2SN1!$R$23</definedName>
    <definedName name="SCDPT2SN1_4329999999_17" localSheetId="2">GMIC_22A_SCDPT2SN1!$S$23</definedName>
    <definedName name="SCDPT2SN1_4329999999_18" localSheetId="2">GMIC_22A_SCDPT2SN1!$T$23</definedName>
    <definedName name="SCDPT2SN1_4329999999_19" localSheetId="2">GMIC_22A_SCDPT2SN1!$U$23</definedName>
    <definedName name="SCDPT2SN1_4329999999_8" localSheetId="2">GMIC_22A_SCDPT2SN1!$J$23</definedName>
    <definedName name="SCDPT2SN1_432BEGINNG_1" localSheetId="2">GMIC_22A_SCDPT2SN1!$C$20</definedName>
    <definedName name="SCDPT2SN1_432BEGINNG_10" localSheetId="2">GMIC_22A_SCDPT2SN1!$L$20</definedName>
    <definedName name="SCDPT2SN1_432BEGINNG_11" localSheetId="2">GMIC_22A_SCDPT2SN1!$M$20</definedName>
    <definedName name="SCDPT2SN1_432BEGINNG_12" localSheetId="2">GMIC_22A_SCDPT2SN1!$N$20</definedName>
    <definedName name="SCDPT2SN1_432BEGINNG_13" localSheetId="2">GMIC_22A_SCDPT2SN1!$O$20</definedName>
    <definedName name="SCDPT2SN1_432BEGINNG_14" localSheetId="2">GMIC_22A_SCDPT2SN1!$P$20</definedName>
    <definedName name="SCDPT2SN1_432BEGINNG_15" localSheetId="2">GMIC_22A_SCDPT2SN1!$Q$20</definedName>
    <definedName name="SCDPT2SN1_432BEGINNG_16" localSheetId="2">GMIC_22A_SCDPT2SN1!$R$20</definedName>
    <definedName name="SCDPT2SN1_432BEGINNG_17" localSheetId="2">GMIC_22A_SCDPT2SN1!$S$20</definedName>
    <definedName name="SCDPT2SN1_432BEGINNG_18" localSheetId="2">GMIC_22A_SCDPT2SN1!$T$20</definedName>
    <definedName name="SCDPT2SN1_432BEGINNG_19" localSheetId="2">GMIC_22A_SCDPT2SN1!$U$20</definedName>
    <definedName name="SCDPT2SN1_432BEGINNG_2" localSheetId="2">GMIC_22A_SCDPT2SN1!$D$20</definedName>
    <definedName name="SCDPT2SN1_432BEGINNG_20.01" localSheetId="2">GMIC_22A_SCDPT2SN1!$V$20</definedName>
    <definedName name="SCDPT2SN1_432BEGINNG_20.02" localSheetId="2">GMIC_22A_SCDPT2SN1!$W$20</definedName>
    <definedName name="SCDPT2SN1_432BEGINNG_20.03" localSheetId="2">GMIC_22A_SCDPT2SN1!$X$20</definedName>
    <definedName name="SCDPT2SN1_432BEGINNG_21" localSheetId="2">GMIC_22A_SCDPT2SN1!$Y$20</definedName>
    <definedName name="SCDPT2SN1_432BEGINNG_22" localSheetId="2">GMIC_22A_SCDPT2SN1!$Z$20</definedName>
    <definedName name="SCDPT2SN1_432BEGINNG_23" localSheetId="2">GMIC_22A_SCDPT2SN1!$AA$20</definedName>
    <definedName name="SCDPT2SN1_432BEGINNG_24" localSheetId="2">GMIC_22A_SCDPT2SN1!$AB$20</definedName>
    <definedName name="SCDPT2SN1_432BEGINNG_25" localSheetId="2">GMIC_22A_SCDPT2SN1!$AC$20</definedName>
    <definedName name="SCDPT2SN1_432BEGINNG_26" localSheetId="2">GMIC_22A_SCDPT2SN1!$AD$20</definedName>
    <definedName name="SCDPT2SN1_432BEGINNG_27" localSheetId="2">GMIC_22A_SCDPT2SN1!$AE$20</definedName>
    <definedName name="SCDPT2SN1_432BEGINNG_28" localSheetId="2">GMIC_22A_SCDPT2SN1!$AF$20</definedName>
    <definedName name="SCDPT2SN1_432BEGINNG_29" localSheetId="2">GMIC_22A_SCDPT2SN1!$AG$20</definedName>
    <definedName name="SCDPT2SN1_432BEGINNG_3" localSheetId="2">GMIC_22A_SCDPT2SN1!$E$20</definedName>
    <definedName name="SCDPT2SN1_432BEGINNG_4" localSheetId="2">GMIC_22A_SCDPT2SN1!$F$20</definedName>
    <definedName name="SCDPT2SN1_432BEGINNG_5" localSheetId="2">GMIC_22A_SCDPT2SN1!$G$20</definedName>
    <definedName name="SCDPT2SN1_432BEGINNG_6" localSheetId="2">GMIC_22A_SCDPT2SN1!$H$20</definedName>
    <definedName name="SCDPT2SN1_432BEGINNG_7" localSheetId="2">GMIC_22A_SCDPT2SN1!$I$20</definedName>
    <definedName name="SCDPT2SN1_432BEGINNG_8" localSheetId="2">GMIC_22A_SCDPT2SN1!$J$20</definedName>
    <definedName name="SCDPT2SN1_432BEGINNG_9" localSheetId="2">GMIC_22A_SCDPT2SN1!$K$20</definedName>
    <definedName name="SCDPT2SN1_432ENDINGG_10" localSheetId="2">GMIC_22A_SCDPT2SN1!$L$22</definedName>
    <definedName name="SCDPT2SN1_432ENDINGG_11" localSheetId="2">GMIC_22A_SCDPT2SN1!$M$22</definedName>
    <definedName name="SCDPT2SN1_432ENDINGG_12" localSheetId="2">GMIC_22A_SCDPT2SN1!$N$22</definedName>
    <definedName name="SCDPT2SN1_432ENDINGG_13" localSheetId="2">GMIC_22A_SCDPT2SN1!$O$22</definedName>
    <definedName name="SCDPT2SN1_432ENDINGG_14" localSheetId="2">GMIC_22A_SCDPT2SN1!$P$22</definedName>
    <definedName name="SCDPT2SN1_432ENDINGG_15" localSheetId="2">GMIC_22A_SCDPT2SN1!$Q$22</definedName>
    <definedName name="SCDPT2SN1_432ENDINGG_16" localSheetId="2">GMIC_22A_SCDPT2SN1!$R$22</definedName>
    <definedName name="SCDPT2SN1_432ENDINGG_17" localSheetId="2">GMIC_22A_SCDPT2SN1!$S$22</definedName>
    <definedName name="SCDPT2SN1_432ENDINGG_18" localSheetId="2">GMIC_22A_SCDPT2SN1!$T$22</definedName>
    <definedName name="SCDPT2SN1_432ENDINGG_19" localSheetId="2">GMIC_22A_SCDPT2SN1!$U$22</definedName>
    <definedName name="SCDPT2SN1_432ENDINGG_2" localSheetId="2">GMIC_22A_SCDPT2SN1!$D$22</definedName>
    <definedName name="SCDPT2SN1_432ENDINGG_20.01" localSheetId="2">GMIC_22A_SCDPT2SN1!$V$22</definedName>
    <definedName name="SCDPT2SN1_432ENDINGG_20.02" localSheetId="2">GMIC_22A_SCDPT2SN1!$W$22</definedName>
    <definedName name="SCDPT2SN1_432ENDINGG_20.03" localSheetId="2">GMIC_22A_SCDPT2SN1!$X$22</definedName>
    <definedName name="SCDPT2SN1_432ENDINGG_21" localSheetId="2">GMIC_22A_SCDPT2SN1!$Y$22</definedName>
    <definedName name="SCDPT2SN1_432ENDINGG_22" localSheetId="2">GMIC_22A_SCDPT2SN1!$Z$22</definedName>
    <definedName name="SCDPT2SN1_432ENDINGG_23" localSheetId="2">GMIC_22A_SCDPT2SN1!$AA$22</definedName>
    <definedName name="SCDPT2SN1_432ENDINGG_24" localSheetId="2">GMIC_22A_SCDPT2SN1!$AB$22</definedName>
    <definedName name="SCDPT2SN1_432ENDINGG_25" localSheetId="2">GMIC_22A_SCDPT2SN1!$AC$22</definedName>
    <definedName name="SCDPT2SN1_432ENDINGG_26" localSheetId="2">GMIC_22A_SCDPT2SN1!$AD$22</definedName>
    <definedName name="SCDPT2SN1_432ENDINGG_27" localSheetId="2">GMIC_22A_SCDPT2SN1!$AE$22</definedName>
    <definedName name="SCDPT2SN1_432ENDINGG_28" localSheetId="2">GMIC_22A_SCDPT2SN1!$AF$22</definedName>
    <definedName name="SCDPT2SN1_432ENDINGG_29" localSheetId="2">GMIC_22A_SCDPT2SN1!$AG$22</definedName>
    <definedName name="SCDPT2SN1_432ENDINGG_3" localSheetId="2">GMIC_22A_SCDPT2SN1!$E$22</definedName>
    <definedName name="SCDPT2SN1_432ENDINGG_4" localSheetId="2">GMIC_22A_SCDPT2SN1!$F$22</definedName>
    <definedName name="SCDPT2SN1_432ENDINGG_5" localSheetId="2">GMIC_22A_SCDPT2SN1!$G$22</definedName>
    <definedName name="SCDPT2SN1_432ENDINGG_6" localSheetId="2">GMIC_22A_SCDPT2SN1!$H$22</definedName>
    <definedName name="SCDPT2SN1_432ENDINGG_7" localSheetId="2">GMIC_22A_SCDPT2SN1!$I$22</definedName>
    <definedName name="SCDPT2SN1_432ENDINGG_8" localSheetId="2">GMIC_22A_SCDPT2SN1!$J$22</definedName>
    <definedName name="SCDPT2SN1_432ENDINGG_9" localSheetId="2">GMIC_22A_SCDPT2SN1!$K$22</definedName>
    <definedName name="SCDPT2SN1_4409999999_10" localSheetId="2">GMIC_22A_SCDPT2SN1!$L$24</definedName>
    <definedName name="SCDPT2SN1_4409999999_11" localSheetId="2">GMIC_22A_SCDPT2SN1!$M$24</definedName>
    <definedName name="SCDPT2SN1_4409999999_12" localSheetId="2">GMIC_22A_SCDPT2SN1!$N$24</definedName>
    <definedName name="SCDPT2SN1_4409999999_13" localSheetId="2">GMIC_22A_SCDPT2SN1!$O$24</definedName>
    <definedName name="SCDPT2SN1_4409999999_14" localSheetId="2">GMIC_22A_SCDPT2SN1!$P$24</definedName>
    <definedName name="SCDPT2SN1_4409999999_15" localSheetId="2">GMIC_22A_SCDPT2SN1!$Q$24</definedName>
    <definedName name="SCDPT2SN1_4409999999_16" localSheetId="2">GMIC_22A_SCDPT2SN1!$R$24</definedName>
    <definedName name="SCDPT2SN1_4409999999_17" localSheetId="2">GMIC_22A_SCDPT2SN1!$S$24</definedName>
    <definedName name="SCDPT2SN1_4409999999_18" localSheetId="2">GMIC_22A_SCDPT2SN1!$T$24</definedName>
    <definedName name="SCDPT2SN1_4409999999_19" localSheetId="2">GMIC_22A_SCDPT2SN1!$U$24</definedName>
    <definedName name="SCDPT2SN1_4409999999_8" localSheetId="2">GMIC_22A_SCDPT2SN1!$J$24</definedName>
    <definedName name="SCDPT2SN1_4509999999_10" localSheetId="2">GMIC_22A_SCDPT2SN1!$L$25</definedName>
    <definedName name="SCDPT2SN1_4509999999_11" localSheetId="2">GMIC_22A_SCDPT2SN1!$M$25</definedName>
    <definedName name="SCDPT2SN1_4509999999_12" localSheetId="2">GMIC_22A_SCDPT2SN1!$N$25</definedName>
    <definedName name="SCDPT2SN1_4509999999_13" localSheetId="2">GMIC_22A_SCDPT2SN1!$O$25</definedName>
    <definedName name="SCDPT2SN1_4509999999_14" localSheetId="2">GMIC_22A_SCDPT2SN1!$P$25</definedName>
    <definedName name="SCDPT2SN1_4509999999_15" localSheetId="2">GMIC_22A_SCDPT2SN1!$Q$25</definedName>
    <definedName name="SCDPT2SN1_4509999999_16" localSheetId="2">GMIC_22A_SCDPT2SN1!$R$25</definedName>
    <definedName name="SCDPT2SN1_4509999999_17" localSheetId="2">GMIC_22A_SCDPT2SN1!$S$25</definedName>
    <definedName name="SCDPT2SN1_4509999999_18" localSheetId="2">GMIC_22A_SCDPT2SN1!$T$25</definedName>
    <definedName name="SCDPT2SN1_4509999999_19" localSheetId="2">GMIC_22A_SCDPT2SN1!$U$25</definedName>
    <definedName name="SCDPT2SN1_4509999999_8" localSheetId="2">GMIC_22A_SCDPT2SN1!$J$25</definedName>
    <definedName name="SCDPT2SN1F_000001A_1" localSheetId="3">GMIC_22A_SCDPT2SN1F!$D$7</definedName>
    <definedName name="SCDPT2SN1F_000001A_2" localSheetId="3">GMIC_22A_SCDPT2SN1F!$E$7</definedName>
    <definedName name="SCDPT2SN1F_000001A_3" localSheetId="3">GMIC_22A_SCDPT2SN1F!$F$7</definedName>
    <definedName name="SCDPT2SN1F_000001A_4" localSheetId="3">GMIC_22A_SCDPT2SN1F!$G$7</definedName>
    <definedName name="SCDPT2SN1F_000001A_5" localSheetId="3">GMIC_22A_SCDPT2SN1F!$H$7</definedName>
    <definedName name="SCDPT2SN1F_000001A_6" localSheetId="3">GMIC_22A_SCDPT2SN1F!$I$7</definedName>
    <definedName name="SCDPT2SN1F_000001A_7" localSheetId="3">GMIC_22A_SCDPT2SN1F!$J$7</definedName>
    <definedName name="SCDPT2SN1F_000001B_1" localSheetId="3">GMIC_22A_SCDPT2SN1F!$D$8</definedName>
    <definedName name="SCDPT2SN1F_000001B_2" localSheetId="3">GMIC_22A_SCDPT2SN1F!$E$8</definedName>
    <definedName name="SCDPT2SN1F_000001B_3" localSheetId="3">GMIC_22A_SCDPT2SN1F!$F$8</definedName>
    <definedName name="SCDPT2SN1F_000001C_1" localSheetId="3">GMIC_22A_SCDPT2SN1F!$D$9</definedName>
    <definedName name="SCDPT2SN1F_000001C_2" localSheetId="3">GMIC_22A_SCDPT2SN1F!$E$9</definedName>
    <definedName name="SCDPT2SN1F_000001C_3" localSheetId="3">GMIC_22A_SCDPT2SN1F!$F$9</definedName>
    <definedName name="SCDPT2SN1F_000001D_1" localSheetId="3">GMIC_22A_SCDPT2SN1F!$D$10</definedName>
    <definedName name="SCDPT2SN1F_000001D_2" localSheetId="3">GMIC_22A_SCDPT2SN1F!$E$10</definedName>
    <definedName name="SCDPT2SN1F_000001D_3" localSheetId="3">GMIC_22A_SCDPT2SN1F!$F$10</definedName>
    <definedName name="SCDPT2SN1F_000001E_1" localSheetId="3">GMIC_22A_SCDPT2SN1F!$D$11</definedName>
    <definedName name="SCDPT2SN1F_000001E_2" localSheetId="3">GMIC_22A_SCDPT2SN1F!$E$11</definedName>
    <definedName name="SCDPT2SN1F_000001E_3" localSheetId="3">GMIC_22A_SCDPT2SN1F!$F$11</definedName>
    <definedName name="SCDPT2SN1F_000001F_1" localSheetId="3">GMIC_22A_SCDPT2SN1F!$D$12</definedName>
    <definedName name="SCDPT2SN2_5010000000_Range" localSheetId="4">GMIC_22A_SCDPT2SN2!$B$7:$AD$9</definedName>
    <definedName name="SCDPT2SN2_5019999999_10" localSheetId="4">GMIC_22A_SCDPT2SN2!$L$10</definedName>
    <definedName name="SCDPT2SN2_5019999999_11" localSheetId="4">GMIC_22A_SCDPT2SN2!$M$10</definedName>
    <definedName name="SCDPT2SN2_5019999999_12" localSheetId="4">GMIC_22A_SCDPT2SN2!$N$10</definedName>
    <definedName name="SCDPT2SN2_5019999999_13" localSheetId="4">GMIC_22A_SCDPT2SN2!$O$10</definedName>
    <definedName name="SCDPT2SN2_5019999999_14" localSheetId="4">GMIC_22A_SCDPT2SN2!$P$10</definedName>
    <definedName name="SCDPT2SN2_5019999999_15" localSheetId="4">GMIC_22A_SCDPT2SN2!$Q$10</definedName>
    <definedName name="SCDPT2SN2_5019999999_16" localSheetId="4">GMIC_22A_SCDPT2SN2!$R$10</definedName>
    <definedName name="SCDPT2SN2_5019999999_6" localSheetId="4">GMIC_22A_SCDPT2SN2!$H$10</definedName>
    <definedName name="SCDPT2SN2_5019999999_8" localSheetId="4">GMIC_22A_SCDPT2SN2!$J$10</definedName>
    <definedName name="SCDPT2SN2_5019999999_9" localSheetId="4">GMIC_22A_SCDPT2SN2!$K$10</definedName>
    <definedName name="SCDPT2SN2_501BEGINNG_1" localSheetId="4">GMIC_22A_SCDPT2SN2!$C$7</definedName>
    <definedName name="SCDPT2SN2_501BEGINNG_10" localSheetId="4">GMIC_22A_SCDPT2SN2!$L$7</definedName>
    <definedName name="SCDPT2SN2_501BEGINNG_11" localSheetId="4">GMIC_22A_SCDPT2SN2!$M$7</definedName>
    <definedName name="SCDPT2SN2_501BEGINNG_12" localSheetId="4">GMIC_22A_SCDPT2SN2!$N$7</definedName>
    <definedName name="SCDPT2SN2_501BEGINNG_13" localSheetId="4">GMIC_22A_SCDPT2SN2!$O$7</definedName>
    <definedName name="SCDPT2SN2_501BEGINNG_14" localSheetId="4">GMIC_22A_SCDPT2SN2!$P$7</definedName>
    <definedName name="SCDPT2SN2_501BEGINNG_15" localSheetId="4">GMIC_22A_SCDPT2SN2!$Q$7</definedName>
    <definedName name="SCDPT2SN2_501BEGINNG_16" localSheetId="4">GMIC_22A_SCDPT2SN2!$R$7</definedName>
    <definedName name="SCDPT2SN2_501BEGINNG_17" localSheetId="4">GMIC_22A_SCDPT2SN2!$S$7</definedName>
    <definedName name="SCDPT2SN2_501BEGINNG_18.01" localSheetId="4">GMIC_22A_SCDPT2SN2!$T$7</definedName>
    <definedName name="SCDPT2SN2_501BEGINNG_18.02" localSheetId="4">GMIC_22A_SCDPT2SN2!$U$7</definedName>
    <definedName name="SCDPT2SN2_501BEGINNG_18.03" localSheetId="4">GMIC_22A_SCDPT2SN2!$V$7</definedName>
    <definedName name="SCDPT2SN2_501BEGINNG_19" localSheetId="4">GMIC_22A_SCDPT2SN2!$W$7</definedName>
    <definedName name="SCDPT2SN2_501BEGINNG_2" localSheetId="4">GMIC_22A_SCDPT2SN2!$D$7</definedName>
    <definedName name="SCDPT2SN2_501BEGINNG_20" localSheetId="4">GMIC_22A_SCDPT2SN2!$X$7</definedName>
    <definedName name="SCDPT2SN2_501BEGINNG_21" localSheetId="4">GMIC_22A_SCDPT2SN2!$Y$7</definedName>
    <definedName name="SCDPT2SN2_501BEGINNG_22" localSheetId="4">GMIC_22A_SCDPT2SN2!$Z$7</definedName>
    <definedName name="SCDPT2SN2_501BEGINNG_23" localSheetId="4">GMIC_22A_SCDPT2SN2!$AA$7</definedName>
    <definedName name="SCDPT2SN2_501BEGINNG_24" localSheetId="4">GMIC_22A_SCDPT2SN2!$AB$7</definedName>
    <definedName name="SCDPT2SN2_501BEGINNG_25" localSheetId="4">GMIC_22A_SCDPT2SN2!$AC$7</definedName>
    <definedName name="SCDPT2SN2_501BEGINNG_26" localSheetId="4">GMIC_22A_SCDPT2SN2!$AD$7</definedName>
    <definedName name="SCDPT2SN2_501BEGINNG_3" localSheetId="4">GMIC_22A_SCDPT2SN2!$E$7</definedName>
    <definedName name="SCDPT2SN2_501BEGINNG_4" localSheetId="4">GMIC_22A_SCDPT2SN2!$F$7</definedName>
    <definedName name="SCDPT2SN2_501BEGINNG_5" localSheetId="4">GMIC_22A_SCDPT2SN2!$G$7</definedName>
    <definedName name="SCDPT2SN2_501BEGINNG_6" localSheetId="4">GMIC_22A_SCDPT2SN2!$H$7</definedName>
    <definedName name="SCDPT2SN2_501BEGINNG_7" localSheetId="4">GMIC_22A_SCDPT2SN2!$I$7</definedName>
    <definedName name="SCDPT2SN2_501BEGINNG_8" localSheetId="4">GMIC_22A_SCDPT2SN2!$J$7</definedName>
    <definedName name="SCDPT2SN2_501BEGINNG_9" localSheetId="4">GMIC_22A_SCDPT2SN2!$K$7</definedName>
    <definedName name="SCDPT2SN2_501ENDINGG_10" localSheetId="4">GMIC_22A_SCDPT2SN2!$L$9</definedName>
    <definedName name="SCDPT2SN2_501ENDINGG_11" localSheetId="4">GMIC_22A_SCDPT2SN2!$M$9</definedName>
    <definedName name="SCDPT2SN2_501ENDINGG_12" localSheetId="4">GMIC_22A_SCDPT2SN2!$N$9</definedName>
    <definedName name="SCDPT2SN2_501ENDINGG_13" localSheetId="4">GMIC_22A_SCDPT2SN2!$O$9</definedName>
    <definedName name="SCDPT2SN2_501ENDINGG_14" localSheetId="4">GMIC_22A_SCDPT2SN2!$P$9</definedName>
    <definedName name="SCDPT2SN2_501ENDINGG_15" localSheetId="4">GMIC_22A_SCDPT2SN2!$Q$9</definedName>
    <definedName name="SCDPT2SN2_501ENDINGG_16" localSheetId="4">GMIC_22A_SCDPT2SN2!$R$9</definedName>
    <definedName name="SCDPT2SN2_501ENDINGG_17" localSheetId="4">GMIC_22A_SCDPT2SN2!$S$9</definedName>
    <definedName name="SCDPT2SN2_501ENDINGG_18.01" localSheetId="4">GMIC_22A_SCDPT2SN2!$T$9</definedName>
    <definedName name="SCDPT2SN2_501ENDINGG_18.02" localSheetId="4">GMIC_22A_SCDPT2SN2!$U$9</definedName>
    <definedName name="SCDPT2SN2_501ENDINGG_18.03" localSheetId="4">GMIC_22A_SCDPT2SN2!$V$9</definedName>
    <definedName name="SCDPT2SN2_501ENDINGG_19" localSheetId="4">GMIC_22A_SCDPT2SN2!$W$9</definedName>
    <definedName name="SCDPT2SN2_501ENDINGG_2" localSheetId="4">GMIC_22A_SCDPT2SN2!$D$9</definedName>
    <definedName name="SCDPT2SN2_501ENDINGG_20" localSheetId="4">GMIC_22A_SCDPT2SN2!$X$9</definedName>
    <definedName name="SCDPT2SN2_501ENDINGG_21" localSheetId="4">GMIC_22A_SCDPT2SN2!$Y$9</definedName>
    <definedName name="SCDPT2SN2_501ENDINGG_22" localSheetId="4">GMIC_22A_SCDPT2SN2!$Z$9</definedName>
    <definedName name="SCDPT2SN2_501ENDINGG_23" localSheetId="4">GMIC_22A_SCDPT2SN2!$AA$9</definedName>
    <definedName name="SCDPT2SN2_501ENDINGG_24" localSheetId="4">GMIC_22A_SCDPT2SN2!$AB$9</definedName>
    <definedName name="SCDPT2SN2_501ENDINGG_25" localSheetId="4">GMIC_22A_SCDPT2SN2!$AC$9</definedName>
    <definedName name="SCDPT2SN2_501ENDINGG_26" localSheetId="4">GMIC_22A_SCDPT2SN2!$AD$9</definedName>
    <definedName name="SCDPT2SN2_501ENDINGG_3" localSheetId="4">GMIC_22A_SCDPT2SN2!$E$9</definedName>
    <definedName name="SCDPT2SN2_501ENDINGG_4" localSheetId="4">GMIC_22A_SCDPT2SN2!$F$9</definedName>
    <definedName name="SCDPT2SN2_501ENDINGG_5" localSheetId="4">GMIC_22A_SCDPT2SN2!$G$9</definedName>
    <definedName name="SCDPT2SN2_501ENDINGG_6" localSheetId="4">GMIC_22A_SCDPT2SN2!$H$9</definedName>
    <definedName name="SCDPT2SN2_501ENDINGG_7" localSheetId="4">GMIC_22A_SCDPT2SN2!$I$9</definedName>
    <definedName name="SCDPT2SN2_501ENDINGG_8" localSheetId="4">GMIC_22A_SCDPT2SN2!$J$9</definedName>
    <definedName name="SCDPT2SN2_501ENDINGG_9" localSheetId="4">GMIC_22A_SCDPT2SN2!$K$9</definedName>
    <definedName name="SCDPT2SN2_5020000000_Range" localSheetId="4">GMIC_22A_SCDPT2SN2!$B$11:$AD$13</definedName>
    <definedName name="SCDPT2SN2_5029999999_10" localSheetId="4">GMIC_22A_SCDPT2SN2!$L$14</definedName>
    <definedName name="SCDPT2SN2_5029999999_11" localSheetId="4">GMIC_22A_SCDPT2SN2!$M$14</definedName>
    <definedName name="SCDPT2SN2_5029999999_12" localSheetId="4">GMIC_22A_SCDPT2SN2!$N$14</definedName>
    <definedName name="SCDPT2SN2_5029999999_13" localSheetId="4">GMIC_22A_SCDPT2SN2!$O$14</definedName>
    <definedName name="SCDPT2SN2_5029999999_14" localSheetId="4">GMIC_22A_SCDPT2SN2!$P$14</definedName>
    <definedName name="SCDPT2SN2_5029999999_15" localSheetId="4">GMIC_22A_SCDPT2SN2!$Q$14</definedName>
    <definedName name="SCDPT2SN2_5029999999_16" localSheetId="4">GMIC_22A_SCDPT2SN2!$R$14</definedName>
    <definedName name="SCDPT2SN2_5029999999_6" localSheetId="4">GMIC_22A_SCDPT2SN2!$H$14</definedName>
    <definedName name="SCDPT2SN2_5029999999_8" localSheetId="4">GMIC_22A_SCDPT2SN2!$J$14</definedName>
    <definedName name="SCDPT2SN2_5029999999_9" localSheetId="4">GMIC_22A_SCDPT2SN2!$K$14</definedName>
    <definedName name="SCDPT2SN2_502BEGINNG_1" localSheetId="4">GMIC_22A_SCDPT2SN2!$C$11</definedName>
    <definedName name="SCDPT2SN2_502BEGINNG_10" localSheetId="4">GMIC_22A_SCDPT2SN2!$L$11</definedName>
    <definedName name="SCDPT2SN2_502BEGINNG_11" localSheetId="4">GMIC_22A_SCDPT2SN2!$M$11</definedName>
    <definedName name="SCDPT2SN2_502BEGINNG_12" localSheetId="4">GMIC_22A_SCDPT2SN2!$N$11</definedName>
    <definedName name="SCDPT2SN2_502BEGINNG_13" localSheetId="4">GMIC_22A_SCDPT2SN2!$O$11</definedName>
    <definedName name="SCDPT2SN2_502BEGINNG_14" localSheetId="4">GMIC_22A_SCDPT2SN2!$P$11</definedName>
    <definedName name="SCDPT2SN2_502BEGINNG_15" localSheetId="4">GMIC_22A_SCDPT2SN2!$Q$11</definedName>
    <definedName name="SCDPT2SN2_502BEGINNG_16" localSheetId="4">GMIC_22A_SCDPT2SN2!$R$11</definedName>
    <definedName name="SCDPT2SN2_502BEGINNG_17" localSheetId="4">GMIC_22A_SCDPT2SN2!$S$11</definedName>
    <definedName name="SCDPT2SN2_502BEGINNG_18.01" localSheetId="4">GMIC_22A_SCDPT2SN2!$T$11</definedName>
    <definedName name="SCDPT2SN2_502BEGINNG_18.02" localSheetId="4">GMIC_22A_SCDPT2SN2!$U$11</definedName>
    <definedName name="SCDPT2SN2_502BEGINNG_18.03" localSheetId="4">GMIC_22A_SCDPT2SN2!$V$11</definedName>
    <definedName name="SCDPT2SN2_502BEGINNG_19" localSheetId="4">GMIC_22A_SCDPT2SN2!$W$11</definedName>
    <definedName name="SCDPT2SN2_502BEGINNG_2" localSheetId="4">GMIC_22A_SCDPT2SN2!$D$11</definedName>
    <definedName name="SCDPT2SN2_502BEGINNG_20" localSheetId="4">GMIC_22A_SCDPT2SN2!$X$11</definedName>
    <definedName name="SCDPT2SN2_502BEGINNG_21" localSheetId="4">GMIC_22A_SCDPT2SN2!$Y$11</definedName>
    <definedName name="SCDPT2SN2_502BEGINNG_22" localSheetId="4">GMIC_22A_SCDPT2SN2!$Z$11</definedName>
    <definedName name="SCDPT2SN2_502BEGINNG_23" localSheetId="4">GMIC_22A_SCDPT2SN2!$AA$11</definedName>
    <definedName name="SCDPT2SN2_502BEGINNG_24" localSheetId="4">GMIC_22A_SCDPT2SN2!$AB$11</definedName>
    <definedName name="SCDPT2SN2_502BEGINNG_25" localSheetId="4">GMIC_22A_SCDPT2SN2!$AC$11</definedName>
    <definedName name="SCDPT2SN2_502BEGINNG_26" localSheetId="4">GMIC_22A_SCDPT2SN2!$AD$11</definedName>
    <definedName name="SCDPT2SN2_502BEGINNG_3" localSheetId="4">GMIC_22A_SCDPT2SN2!$E$11</definedName>
    <definedName name="SCDPT2SN2_502BEGINNG_4" localSheetId="4">GMIC_22A_SCDPT2SN2!$F$11</definedName>
    <definedName name="SCDPT2SN2_502BEGINNG_5" localSheetId="4">GMIC_22A_SCDPT2SN2!$G$11</definedName>
    <definedName name="SCDPT2SN2_502BEGINNG_6" localSheetId="4">GMIC_22A_SCDPT2SN2!$H$11</definedName>
    <definedName name="SCDPT2SN2_502BEGINNG_7" localSheetId="4">GMIC_22A_SCDPT2SN2!$I$11</definedName>
    <definedName name="SCDPT2SN2_502BEGINNG_8" localSheetId="4">GMIC_22A_SCDPT2SN2!$J$11</definedName>
    <definedName name="SCDPT2SN2_502BEGINNG_9" localSheetId="4">GMIC_22A_SCDPT2SN2!$K$11</definedName>
    <definedName name="SCDPT2SN2_502ENDINGG_10" localSheetId="4">GMIC_22A_SCDPT2SN2!$L$13</definedName>
    <definedName name="SCDPT2SN2_502ENDINGG_11" localSheetId="4">GMIC_22A_SCDPT2SN2!$M$13</definedName>
    <definedName name="SCDPT2SN2_502ENDINGG_12" localSheetId="4">GMIC_22A_SCDPT2SN2!$N$13</definedName>
    <definedName name="SCDPT2SN2_502ENDINGG_13" localSheetId="4">GMIC_22A_SCDPT2SN2!$O$13</definedName>
    <definedName name="SCDPT2SN2_502ENDINGG_14" localSheetId="4">GMIC_22A_SCDPT2SN2!$P$13</definedName>
    <definedName name="SCDPT2SN2_502ENDINGG_15" localSheetId="4">GMIC_22A_SCDPT2SN2!$Q$13</definedName>
    <definedName name="SCDPT2SN2_502ENDINGG_16" localSheetId="4">GMIC_22A_SCDPT2SN2!$R$13</definedName>
    <definedName name="SCDPT2SN2_502ENDINGG_17" localSheetId="4">GMIC_22A_SCDPT2SN2!$S$13</definedName>
    <definedName name="SCDPT2SN2_502ENDINGG_18.01" localSheetId="4">GMIC_22A_SCDPT2SN2!$T$13</definedName>
    <definedName name="SCDPT2SN2_502ENDINGG_18.02" localSheetId="4">GMIC_22A_SCDPT2SN2!$U$13</definedName>
    <definedName name="SCDPT2SN2_502ENDINGG_18.03" localSheetId="4">GMIC_22A_SCDPT2SN2!$V$13</definedName>
    <definedName name="SCDPT2SN2_502ENDINGG_19" localSheetId="4">GMIC_22A_SCDPT2SN2!$W$13</definedName>
    <definedName name="SCDPT2SN2_502ENDINGG_2" localSheetId="4">GMIC_22A_SCDPT2SN2!$D$13</definedName>
    <definedName name="SCDPT2SN2_502ENDINGG_20" localSheetId="4">GMIC_22A_SCDPT2SN2!$X$13</definedName>
    <definedName name="SCDPT2SN2_502ENDINGG_21" localSheetId="4">GMIC_22A_SCDPT2SN2!$Y$13</definedName>
    <definedName name="SCDPT2SN2_502ENDINGG_22" localSheetId="4">GMIC_22A_SCDPT2SN2!$Z$13</definedName>
    <definedName name="SCDPT2SN2_502ENDINGG_23" localSheetId="4">GMIC_22A_SCDPT2SN2!$AA$13</definedName>
    <definedName name="SCDPT2SN2_502ENDINGG_24" localSheetId="4">GMIC_22A_SCDPT2SN2!$AB$13</definedName>
    <definedName name="SCDPT2SN2_502ENDINGG_25" localSheetId="4">GMIC_22A_SCDPT2SN2!$AC$13</definedName>
    <definedName name="SCDPT2SN2_502ENDINGG_26" localSheetId="4">GMIC_22A_SCDPT2SN2!$AD$13</definedName>
    <definedName name="SCDPT2SN2_502ENDINGG_3" localSheetId="4">GMIC_22A_SCDPT2SN2!$E$13</definedName>
    <definedName name="SCDPT2SN2_502ENDINGG_4" localSheetId="4">GMIC_22A_SCDPT2SN2!$F$13</definedName>
    <definedName name="SCDPT2SN2_502ENDINGG_5" localSheetId="4">GMIC_22A_SCDPT2SN2!$G$13</definedName>
    <definedName name="SCDPT2SN2_502ENDINGG_6" localSheetId="4">GMIC_22A_SCDPT2SN2!$H$13</definedName>
    <definedName name="SCDPT2SN2_502ENDINGG_7" localSheetId="4">GMIC_22A_SCDPT2SN2!$I$13</definedName>
    <definedName name="SCDPT2SN2_502ENDINGG_8" localSheetId="4">GMIC_22A_SCDPT2SN2!$J$13</definedName>
    <definedName name="SCDPT2SN2_502ENDINGG_9" localSheetId="4">GMIC_22A_SCDPT2SN2!$K$13</definedName>
    <definedName name="SCDPT2SN2_5109999999_10" localSheetId="4">GMIC_22A_SCDPT2SN2!$L$15</definedName>
    <definedName name="SCDPT2SN2_5109999999_11" localSheetId="4">GMIC_22A_SCDPT2SN2!$M$15</definedName>
    <definedName name="SCDPT2SN2_5109999999_12" localSheetId="4">GMIC_22A_SCDPT2SN2!$N$15</definedName>
    <definedName name="SCDPT2SN2_5109999999_13" localSheetId="4">GMIC_22A_SCDPT2SN2!$O$15</definedName>
    <definedName name="SCDPT2SN2_5109999999_14" localSheetId="4">GMIC_22A_SCDPT2SN2!$P$15</definedName>
    <definedName name="SCDPT2SN2_5109999999_15" localSheetId="4">GMIC_22A_SCDPT2SN2!$Q$15</definedName>
    <definedName name="SCDPT2SN2_5109999999_16" localSheetId="4">GMIC_22A_SCDPT2SN2!$R$15</definedName>
    <definedName name="SCDPT2SN2_5109999999_6" localSheetId="4">GMIC_22A_SCDPT2SN2!$H$15</definedName>
    <definedName name="SCDPT2SN2_5109999999_8" localSheetId="4">GMIC_22A_SCDPT2SN2!$J$15</definedName>
    <definedName name="SCDPT2SN2_5109999999_9" localSheetId="4">GMIC_22A_SCDPT2SN2!$K$15</definedName>
    <definedName name="SCDPT2SN2_5310000000_Range" localSheetId="4">GMIC_22A_SCDPT2SN2!$B$16:$AD$18</definedName>
    <definedName name="SCDPT2SN2_5319999999_10" localSheetId="4">GMIC_22A_SCDPT2SN2!$L$19</definedName>
    <definedName name="SCDPT2SN2_5319999999_11" localSheetId="4">GMIC_22A_SCDPT2SN2!$M$19</definedName>
    <definedName name="SCDPT2SN2_5319999999_12" localSheetId="4">GMIC_22A_SCDPT2SN2!$N$19</definedName>
    <definedName name="SCDPT2SN2_5319999999_13" localSheetId="4">GMIC_22A_SCDPT2SN2!$O$19</definedName>
    <definedName name="SCDPT2SN2_5319999999_14" localSheetId="4">GMIC_22A_SCDPT2SN2!$P$19</definedName>
    <definedName name="SCDPT2SN2_5319999999_15" localSheetId="4">GMIC_22A_SCDPT2SN2!$Q$19</definedName>
    <definedName name="SCDPT2SN2_5319999999_16" localSheetId="4">GMIC_22A_SCDPT2SN2!$R$19</definedName>
    <definedName name="SCDPT2SN2_5319999999_6" localSheetId="4">GMIC_22A_SCDPT2SN2!$H$19</definedName>
    <definedName name="SCDPT2SN2_5319999999_8" localSheetId="4">GMIC_22A_SCDPT2SN2!$J$19</definedName>
    <definedName name="SCDPT2SN2_5319999999_9" localSheetId="4">GMIC_22A_SCDPT2SN2!$K$19</definedName>
    <definedName name="SCDPT2SN2_531BEGINNG_1" localSheetId="4">GMIC_22A_SCDPT2SN2!$C$16</definedName>
    <definedName name="SCDPT2SN2_531BEGINNG_10" localSheetId="4">GMIC_22A_SCDPT2SN2!$L$16</definedName>
    <definedName name="SCDPT2SN2_531BEGINNG_11" localSheetId="4">GMIC_22A_SCDPT2SN2!$M$16</definedName>
    <definedName name="SCDPT2SN2_531BEGINNG_12" localSheetId="4">GMIC_22A_SCDPT2SN2!$N$16</definedName>
    <definedName name="SCDPT2SN2_531BEGINNG_13" localSheetId="4">GMIC_22A_SCDPT2SN2!$O$16</definedName>
    <definedName name="SCDPT2SN2_531BEGINNG_14" localSheetId="4">GMIC_22A_SCDPT2SN2!$P$16</definedName>
    <definedName name="SCDPT2SN2_531BEGINNG_15" localSheetId="4">GMIC_22A_SCDPT2SN2!$Q$16</definedName>
    <definedName name="SCDPT2SN2_531BEGINNG_16" localSheetId="4">GMIC_22A_SCDPT2SN2!$R$16</definedName>
    <definedName name="SCDPT2SN2_531BEGINNG_17" localSheetId="4">GMIC_22A_SCDPT2SN2!$S$16</definedName>
    <definedName name="SCDPT2SN2_531BEGINNG_18.01" localSheetId="4">GMIC_22A_SCDPT2SN2!$T$16</definedName>
    <definedName name="SCDPT2SN2_531BEGINNG_18.02" localSheetId="4">GMIC_22A_SCDPT2SN2!$U$16</definedName>
    <definedName name="SCDPT2SN2_531BEGINNG_18.03" localSheetId="4">GMIC_22A_SCDPT2SN2!$V$16</definedName>
    <definedName name="SCDPT2SN2_531BEGINNG_19" localSheetId="4">GMIC_22A_SCDPT2SN2!$W$16</definedName>
    <definedName name="SCDPT2SN2_531BEGINNG_2" localSheetId="4">GMIC_22A_SCDPT2SN2!$D$16</definedName>
    <definedName name="SCDPT2SN2_531BEGINNG_20" localSheetId="4">GMIC_22A_SCDPT2SN2!$X$16</definedName>
    <definedName name="SCDPT2SN2_531BEGINNG_21" localSheetId="4">GMIC_22A_SCDPT2SN2!$Y$16</definedName>
    <definedName name="SCDPT2SN2_531BEGINNG_22" localSheetId="4">GMIC_22A_SCDPT2SN2!$Z$16</definedName>
    <definedName name="SCDPT2SN2_531BEGINNG_23" localSheetId="4">GMIC_22A_SCDPT2SN2!$AA$16</definedName>
    <definedName name="SCDPT2SN2_531BEGINNG_24" localSheetId="4">GMIC_22A_SCDPT2SN2!$AB$16</definedName>
    <definedName name="SCDPT2SN2_531BEGINNG_25" localSheetId="4">GMIC_22A_SCDPT2SN2!$AC$16</definedName>
    <definedName name="SCDPT2SN2_531BEGINNG_26" localSheetId="4">GMIC_22A_SCDPT2SN2!$AD$16</definedName>
    <definedName name="SCDPT2SN2_531BEGINNG_3" localSheetId="4">GMIC_22A_SCDPT2SN2!$E$16</definedName>
    <definedName name="SCDPT2SN2_531BEGINNG_4" localSheetId="4">GMIC_22A_SCDPT2SN2!$F$16</definedName>
    <definedName name="SCDPT2SN2_531BEGINNG_5" localSheetId="4">GMIC_22A_SCDPT2SN2!$G$16</definedName>
    <definedName name="SCDPT2SN2_531BEGINNG_6" localSheetId="4">GMIC_22A_SCDPT2SN2!$H$16</definedName>
    <definedName name="SCDPT2SN2_531BEGINNG_7" localSheetId="4">GMIC_22A_SCDPT2SN2!$I$16</definedName>
    <definedName name="SCDPT2SN2_531BEGINNG_8" localSheetId="4">GMIC_22A_SCDPT2SN2!$J$16</definedName>
    <definedName name="SCDPT2SN2_531BEGINNG_9" localSheetId="4">GMIC_22A_SCDPT2SN2!$K$16</definedName>
    <definedName name="SCDPT2SN2_531ENDINGG_10" localSheetId="4">GMIC_22A_SCDPT2SN2!$L$18</definedName>
    <definedName name="SCDPT2SN2_531ENDINGG_11" localSheetId="4">GMIC_22A_SCDPT2SN2!$M$18</definedName>
    <definedName name="SCDPT2SN2_531ENDINGG_12" localSheetId="4">GMIC_22A_SCDPT2SN2!$N$18</definedName>
    <definedName name="SCDPT2SN2_531ENDINGG_13" localSheetId="4">GMIC_22A_SCDPT2SN2!$O$18</definedName>
    <definedName name="SCDPT2SN2_531ENDINGG_14" localSheetId="4">GMIC_22A_SCDPT2SN2!$P$18</definedName>
    <definedName name="SCDPT2SN2_531ENDINGG_15" localSheetId="4">GMIC_22A_SCDPT2SN2!$Q$18</definedName>
    <definedName name="SCDPT2SN2_531ENDINGG_16" localSheetId="4">GMIC_22A_SCDPT2SN2!$R$18</definedName>
    <definedName name="SCDPT2SN2_531ENDINGG_17" localSheetId="4">GMIC_22A_SCDPT2SN2!$S$18</definedName>
    <definedName name="SCDPT2SN2_531ENDINGG_18.01" localSheetId="4">GMIC_22A_SCDPT2SN2!$T$18</definedName>
    <definedName name="SCDPT2SN2_531ENDINGG_18.02" localSheetId="4">GMIC_22A_SCDPT2SN2!$U$18</definedName>
    <definedName name="SCDPT2SN2_531ENDINGG_18.03" localSheetId="4">GMIC_22A_SCDPT2SN2!$V$18</definedName>
    <definedName name="SCDPT2SN2_531ENDINGG_19" localSheetId="4">GMIC_22A_SCDPT2SN2!$W$18</definedName>
    <definedName name="SCDPT2SN2_531ENDINGG_2" localSheetId="4">GMIC_22A_SCDPT2SN2!$D$18</definedName>
    <definedName name="SCDPT2SN2_531ENDINGG_20" localSheetId="4">GMIC_22A_SCDPT2SN2!$X$18</definedName>
    <definedName name="SCDPT2SN2_531ENDINGG_21" localSheetId="4">GMIC_22A_SCDPT2SN2!$Y$18</definedName>
    <definedName name="SCDPT2SN2_531ENDINGG_22" localSheetId="4">GMIC_22A_SCDPT2SN2!$Z$18</definedName>
    <definedName name="SCDPT2SN2_531ENDINGG_23" localSheetId="4">GMIC_22A_SCDPT2SN2!$AA$18</definedName>
    <definedName name="SCDPT2SN2_531ENDINGG_24" localSheetId="4">GMIC_22A_SCDPT2SN2!$AB$18</definedName>
    <definedName name="SCDPT2SN2_531ENDINGG_25" localSheetId="4">GMIC_22A_SCDPT2SN2!$AC$18</definedName>
    <definedName name="SCDPT2SN2_531ENDINGG_26" localSheetId="4">GMIC_22A_SCDPT2SN2!$AD$18</definedName>
    <definedName name="SCDPT2SN2_531ENDINGG_3" localSheetId="4">GMIC_22A_SCDPT2SN2!$E$18</definedName>
    <definedName name="SCDPT2SN2_531ENDINGG_4" localSheetId="4">GMIC_22A_SCDPT2SN2!$F$18</definedName>
    <definedName name="SCDPT2SN2_531ENDINGG_5" localSheetId="4">GMIC_22A_SCDPT2SN2!$G$18</definedName>
    <definedName name="SCDPT2SN2_531ENDINGG_6" localSheetId="4">GMIC_22A_SCDPT2SN2!$H$18</definedName>
    <definedName name="SCDPT2SN2_531ENDINGG_7" localSheetId="4">GMIC_22A_SCDPT2SN2!$I$18</definedName>
    <definedName name="SCDPT2SN2_531ENDINGG_8" localSheetId="4">GMIC_22A_SCDPT2SN2!$J$18</definedName>
    <definedName name="SCDPT2SN2_531ENDINGG_9" localSheetId="4">GMIC_22A_SCDPT2SN2!$K$18</definedName>
    <definedName name="SCDPT2SN2_5320000000_Range" localSheetId="4">GMIC_22A_SCDPT2SN2!$B$20:$AD$22</definedName>
    <definedName name="SCDPT2SN2_5329999999_10" localSheetId="4">GMIC_22A_SCDPT2SN2!$L$23</definedName>
    <definedName name="SCDPT2SN2_5329999999_11" localSheetId="4">GMIC_22A_SCDPT2SN2!$M$23</definedName>
    <definedName name="SCDPT2SN2_5329999999_12" localSheetId="4">GMIC_22A_SCDPT2SN2!$N$23</definedName>
    <definedName name="SCDPT2SN2_5329999999_13" localSheetId="4">GMIC_22A_SCDPT2SN2!$O$23</definedName>
    <definedName name="SCDPT2SN2_5329999999_14" localSheetId="4">GMIC_22A_SCDPT2SN2!$P$23</definedName>
    <definedName name="SCDPT2SN2_5329999999_15" localSheetId="4">GMIC_22A_SCDPT2SN2!$Q$23</definedName>
    <definedName name="SCDPT2SN2_5329999999_16" localSheetId="4">GMIC_22A_SCDPT2SN2!$R$23</definedName>
    <definedName name="SCDPT2SN2_5329999999_6" localSheetId="4">GMIC_22A_SCDPT2SN2!$H$23</definedName>
    <definedName name="SCDPT2SN2_5329999999_8" localSheetId="4">GMIC_22A_SCDPT2SN2!$J$23</definedName>
    <definedName name="SCDPT2SN2_5329999999_9" localSheetId="4">GMIC_22A_SCDPT2SN2!$K$23</definedName>
    <definedName name="SCDPT2SN2_532BEGINNG_1" localSheetId="4">GMIC_22A_SCDPT2SN2!$C$20</definedName>
    <definedName name="SCDPT2SN2_532BEGINNG_10" localSheetId="4">GMIC_22A_SCDPT2SN2!$L$20</definedName>
    <definedName name="SCDPT2SN2_532BEGINNG_11" localSheetId="4">GMIC_22A_SCDPT2SN2!$M$20</definedName>
    <definedName name="SCDPT2SN2_532BEGINNG_12" localSheetId="4">GMIC_22A_SCDPT2SN2!$N$20</definedName>
    <definedName name="SCDPT2SN2_532BEGINNG_13" localSheetId="4">GMIC_22A_SCDPT2SN2!$O$20</definedName>
    <definedName name="SCDPT2SN2_532BEGINNG_14" localSheetId="4">GMIC_22A_SCDPT2SN2!$P$20</definedName>
    <definedName name="SCDPT2SN2_532BEGINNG_15" localSheetId="4">GMIC_22A_SCDPT2SN2!$Q$20</definedName>
    <definedName name="SCDPT2SN2_532BEGINNG_16" localSheetId="4">GMIC_22A_SCDPT2SN2!$R$20</definedName>
    <definedName name="SCDPT2SN2_532BEGINNG_17" localSheetId="4">GMIC_22A_SCDPT2SN2!$S$20</definedName>
    <definedName name="SCDPT2SN2_532BEGINNG_18.01" localSheetId="4">GMIC_22A_SCDPT2SN2!$T$20</definedName>
    <definedName name="SCDPT2SN2_532BEGINNG_18.02" localSheetId="4">GMIC_22A_SCDPT2SN2!$U$20</definedName>
    <definedName name="SCDPT2SN2_532BEGINNG_18.03" localSheetId="4">GMIC_22A_SCDPT2SN2!$V$20</definedName>
    <definedName name="SCDPT2SN2_532BEGINNG_19" localSheetId="4">GMIC_22A_SCDPT2SN2!$W$20</definedName>
    <definedName name="SCDPT2SN2_532BEGINNG_2" localSheetId="4">GMIC_22A_SCDPT2SN2!$D$20</definedName>
    <definedName name="SCDPT2SN2_532BEGINNG_20" localSheetId="4">GMIC_22A_SCDPT2SN2!$X$20</definedName>
    <definedName name="SCDPT2SN2_532BEGINNG_21" localSheetId="4">GMIC_22A_SCDPT2SN2!$Y$20</definedName>
    <definedName name="SCDPT2SN2_532BEGINNG_22" localSheetId="4">GMIC_22A_SCDPT2SN2!$Z$20</definedName>
    <definedName name="SCDPT2SN2_532BEGINNG_23" localSheetId="4">GMIC_22A_SCDPT2SN2!$AA$20</definedName>
    <definedName name="SCDPT2SN2_532BEGINNG_24" localSheetId="4">GMIC_22A_SCDPT2SN2!$AB$20</definedName>
    <definedName name="SCDPT2SN2_532BEGINNG_25" localSheetId="4">GMIC_22A_SCDPT2SN2!$AC$20</definedName>
    <definedName name="SCDPT2SN2_532BEGINNG_26" localSheetId="4">GMIC_22A_SCDPT2SN2!$AD$20</definedName>
    <definedName name="SCDPT2SN2_532BEGINNG_3" localSheetId="4">GMIC_22A_SCDPT2SN2!$E$20</definedName>
    <definedName name="SCDPT2SN2_532BEGINNG_4" localSheetId="4">GMIC_22A_SCDPT2SN2!$F$20</definedName>
    <definedName name="SCDPT2SN2_532BEGINNG_5" localSheetId="4">GMIC_22A_SCDPT2SN2!$G$20</definedName>
    <definedName name="SCDPT2SN2_532BEGINNG_6" localSheetId="4">GMIC_22A_SCDPT2SN2!$H$20</definedName>
    <definedName name="SCDPT2SN2_532BEGINNG_7" localSheetId="4">GMIC_22A_SCDPT2SN2!$I$20</definedName>
    <definedName name="SCDPT2SN2_532BEGINNG_8" localSheetId="4">GMIC_22A_SCDPT2SN2!$J$20</definedName>
    <definedName name="SCDPT2SN2_532BEGINNG_9" localSheetId="4">GMIC_22A_SCDPT2SN2!$K$20</definedName>
    <definedName name="SCDPT2SN2_532ENDINGG_10" localSheetId="4">GMIC_22A_SCDPT2SN2!$L$22</definedName>
    <definedName name="SCDPT2SN2_532ENDINGG_11" localSheetId="4">GMIC_22A_SCDPT2SN2!$M$22</definedName>
    <definedName name="SCDPT2SN2_532ENDINGG_12" localSheetId="4">GMIC_22A_SCDPT2SN2!$N$22</definedName>
    <definedName name="SCDPT2SN2_532ENDINGG_13" localSheetId="4">GMIC_22A_SCDPT2SN2!$O$22</definedName>
    <definedName name="SCDPT2SN2_532ENDINGG_14" localSheetId="4">GMIC_22A_SCDPT2SN2!$P$22</definedName>
    <definedName name="SCDPT2SN2_532ENDINGG_15" localSheetId="4">GMIC_22A_SCDPT2SN2!$Q$22</definedName>
    <definedName name="SCDPT2SN2_532ENDINGG_16" localSheetId="4">GMIC_22A_SCDPT2SN2!$R$22</definedName>
    <definedName name="SCDPT2SN2_532ENDINGG_17" localSheetId="4">GMIC_22A_SCDPT2SN2!$S$22</definedName>
    <definedName name="SCDPT2SN2_532ENDINGG_18.01" localSheetId="4">GMIC_22A_SCDPT2SN2!$T$22</definedName>
    <definedName name="SCDPT2SN2_532ENDINGG_18.02" localSheetId="4">GMIC_22A_SCDPT2SN2!$U$22</definedName>
    <definedName name="SCDPT2SN2_532ENDINGG_18.03" localSheetId="4">GMIC_22A_SCDPT2SN2!$V$22</definedName>
    <definedName name="SCDPT2SN2_532ENDINGG_19" localSheetId="4">GMIC_22A_SCDPT2SN2!$W$22</definedName>
    <definedName name="SCDPT2SN2_532ENDINGG_2" localSheetId="4">GMIC_22A_SCDPT2SN2!$D$22</definedName>
    <definedName name="SCDPT2SN2_532ENDINGG_20" localSheetId="4">GMIC_22A_SCDPT2SN2!$X$22</definedName>
    <definedName name="SCDPT2SN2_532ENDINGG_21" localSheetId="4">GMIC_22A_SCDPT2SN2!$Y$22</definedName>
    <definedName name="SCDPT2SN2_532ENDINGG_22" localSheetId="4">GMIC_22A_SCDPT2SN2!$Z$22</definedName>
    <definedName name="SCDPT2SN2_532ENDINGG_23" localSheetId="4">GMIC_22A_SCDPT2SN2!$AA$22</definedName>
    <definedName name="SCDPT2SN2_532ENDINGG_24" localSheetId="4">GMIC_22A_SCDPT2SN2!$AB$22</definedName>
    <definedName name="SCDPT2SN2_532ENDINGG_25" localSheetId="4">GMIC_22A_SCDPT2SN2!$AC$22</definedName>
    <definedName name="SCDPT2SN2_532ENDINGG_26" localSheetId="4">GMIC_22A_SCDPT2SN2!$AD$22</definedName>
    <definedName name="SCDPT2SN2_532ENDINGG_3" localSheetId="4">GMIC_22A_SCDPT2SN2!$E$22</definedName>
    <definedName name="SCDPT2SN2_532ENDINGG_4" localSheetId="4">GMIC_22A_SCDPT2SN2!$F$22</definedName>
    <definedName name="SCDPT2SN2_532ENDINGG_5" localSheetId="4">GMIC_22A_SCDPT2SN2!$G$22</definedName>
    <definedName name="SCDPT2SN2_532ENDINGG_6" localSheetId="4">GMIC_22A_SCDPT2SN2!$H$22</definedName>
    <definedName name="SCDPT2SN2_532ENDINGG_7" localSheetId="4">GMIC_22A_SCDPT2SN2!$I$22</definedName>
    <definedName name="SCDPT2SN2_532ENDINGG_8" localSheetId="4">GMIC_22A_SCDPT2SN2!$J$22</definedName>
    <definedName name="SCDPT2SN2_532ENDINGG_9" localSheetId="4">GMIC_22A_SCDPT2SN2!$K$22</definedName>
    <definedName name="SCDPT2SN2_5409999999_10" localSheetId="4">GMIC_22A_SCDPT2SN2!$L$24</definedName>
    <definedName name="SCDPT2SN2_5409999999_11" localSheetId="4">GMIC_22A_SCDPT2SN2!$M$24</definedName>
    <definedName name="SCDPT2SN2_5409999999_12" localSheetId="4">GMIC_22A_SCDPT2SN2!$N$24</definedName>
    <definedName name="SCDPT2SN2_5409999999_13" localSheetId="4">GMIC_22A_SCDPT2SN2!$O$24</definedName>
    <definedName name="SCDPT2SN2_5409999999_14" localSheetId="4">GMIC_22A_SCDPT2SN2!$P$24</definedName>
    <definedName name="SCDPT2SN2_5409999999_15" localSheetId="4">GMIC_22A_SCDPT2SN2!$Q$24</definedName>
    <definedName name="SCDPT2SN2_5409999999_16" localSheetId="4">GMIC_22A_SCDPT2SN2!$R$24</definedName>
    <definedName name="SCDPT2SN2_5409999999_6" localSheetId="4">GMIC_22A_SCDPT2SN2!$H$24</definedName>
    <definedName name="SCDPT2SN2_5409999999_8" localSheetId="4">GMIC_22A_SCDPT2SN2!$J$24</definedName>
    <definedName name="SCDPT2SN2_5409999999_9" localSheetId="4">GMIC_22A_SCDPT2SN2!$K$24</definedName>
    <definedName name="SCDPT2SN2_5510000000_Range" localSheetId="4">GMIC_22A_SCDPT2SN2!$B$25:$AD$27</definedName>
    <definedName name="SCDPT2SN2_5519999999_10" localSheetId="4">GMIC_22A_SCDPT2SN2!$L$28</definedName>
    <definedName name="SCDPT2SN2_5519999999_11" localSheetId="4">GMIC_22A_SCDPT2SN2!$M$28</definedName>
    <definedName name="SCDPT2SN2_5519999999_12" localSheetId="4">GMIC_22A_SCDPT2SN2!$N$28</definedName>
    <definedName name="SCDPT2SN2_5519999999_13" localSheetId="4">GMIC_22A_SCDPT2SN2!$O$28</definedName>
    <definedName name="SCDPT2SN2_5519999999_14" localSheetId="4">GMIC_22A_SCDPT2SN2!$P$28</definedName>
    <definedName name="SCDPT2SN2_5519999999_15" localSheetId="4">GMIC_22A_SCDPT2SN2!$Q$28</definedName>
    <definedName name="SCDPT2SN2_5519999999_16" localSheetId="4">GMIC_22A_SCDPT2SN2!$R$28</definedName>
    <definedName name="SCDPT2SN2_5519999999_6" localSheetId="4">GMIC_22A_SCDPT2SN2!$H$28</definedName>
    <definedName name="SCDPT2SN2_5519999999_8" localSheetId="4">GMIC_22A_SCDPT2SN2!$J$28</definedName>
    <definedName name="SCDPT2SN2_5519999999_9" localSheetId="4">GMIC_22A_SCDPT2SN2!$K$28</definedName>
    <definedName name="SCDPT2SN2_551BEGINNG_1" localSheetId="4">GMIC_22A_SCDPT2SN2!$C$25</definedName>
    <definedName name="SCDPT2SN2_551BEGINNG_10" localSheetId="4">GMIC_22A_SCDPT2SN2!$L$25</definedName>
    <definedName name="SCDPT2SN2_551BEGINNG_11" localSheetId="4">GMIC_22A_SCDPT2SN2!$M$25</definedName>
    <definedName name="SCDPT2SN2_551BEGINNG_12" localSheetId="4">GMIC_22A_SCDPT2SN2!$N$25</definedName>
    <definedName name="SCDPT2SN2_551BEGINNG_13" localSheetId="4">GMIC_22A_SCDPT2SN2!$O$25</definedName>
    <definedName name="SCDPT2SN2_551BEGINNG_14" localSheetId="4">GMIC_22A_SCDPT2SN2!$P$25</definedName>
    <definedName name="SCDPT2SN2_551BEGINNG_15" localSheetId="4">GMIC_22A_SCDPT2SN2!$Q$25</definedName>
    <definedName name="SCDPT2SN2_551BEGINNG_16" localSheetId="4">GMIC_22A_SCDPT2SN2!$R$25</definedName>
    <definedName name="SCDPT2SN2_551BEGINNG_17" localSheetId="4">GMIC_22A_SCDPT2SN2!$S$25</definedName>
    <definedName name="SCDPT2SN2_551BEGINNG_18.01" localSheetId="4">GMIC_22A_SCDPT2SN2!$T$25</definedName>
    <definedName name="SCDPT2SN2_551BEGINNG_18.02" localSheetId="4">GMIC_22A_SCDPT2SN2!$U$25</definedName>
    <definedName name="SCDPT2SN2_551BEGINNG_18.03" localSheetId="4">GMIC_22A_SCDPT2SN2!$V$25</definedName>
    <definedName name="SCDPT2SN2_551BEGINNG_19" localSheetId="4">GMIC_22A_SCDPT2SN2!$W$25</definedName>
    <definedName name="SCDPT2SN2_551BEGINNG_2" localSheetId="4">GMIC_22A_SCDPT2SN2!$D$25</definedName>
    <definedName name="SCDPT2SN2_551BEGINNG_20" localSheetId="4">GMIC_22A_SCDPT2SN2!$X$25</definedName>
    <definedName name="SCDPT2SN2_551BEGINNG_21" localSheetId="4">GMIC_22A_SCDPT2SN2!$Y$25</definedName>
    <definedName name="SCDPT2SN2_551BEGINNG_22" localSheetId="4">GMIC_22A_SCDPT2SN2!$Z$25</definedName>
    <definedName name="SCDPT2SN2_551BEGINNG_23" localSheetId="4">GMIC_22A_SCDPT2SN2!$AA$25</definedName>
    <definedName name="SCDPT2SN2_551BEGINNG_24" localSheetId="4">GMIC_22A_SCDPT2SN2!$AB$25</definedName>
    <definedName name="SCDPT2SN2_551BEGINNG_25" localSheetId="4">GMIC_22A_SCDPT2SN2!$AC$25</definedName>
    <definedName name="SCDPT2SN2_551BEGINNG_26" localSheetId="4">GMIC_22A_SCDPT2SN2!$AD$25</definedName>
    <definedName name="SCDPT2SN2_551BEGINNG_3" localSheetId="4">GMIC_22A_SCDPT2SN2!$E$25</definedName>
    <definedName name="SCDPT2SN2_551BEGINNG_4" localSheetId="4">GMIC_22A_SCDPT2SN2!$F$25</definedName>
    <definedName name="SCDPT2SN2_551BEGINNG_5" localSheetId="4">GMIC_22A_SCDPT2SN2!$G$25</definedName>
    <definedName name="SCDPT2SN2_551BEGINNG_6" localSheetId="4">GMIC_22A_SCDPT2SN2!$H$25</definedName>
    <definedName name="SCDPT2SN2_551BEGINNG_7" localSheetId="4">GMIC_22A_SCDPT2SN2!$I$25</definedName>
    <definedName name="SCDPT2SN2_551BEGINNG_8" localSheetId="4">GMIC_22A_SCDPT2SN2!$J$25</definedName>
    <definedName name="SCDPT2SN2_551BEGINNG_9" localSheetId="4">GMIC_22A_SCDPT2SN2!$K$25</definedName>
    <definedName name="SCDPT2SN2_551ENDINGG_10" localSheetId="4">GMIC_22A_SCDPT2SN2!$L$27</definedName>
    <definedName name="SCDPT2SN2_551ENDINGG_11" localSheetId="4">GMIC_22A_SCDPT2SN2!$M$27</definedName>
    <definedName name="SCDPT2SN2_551ENDINGG_12" localSheetId="4">GMIC_22A_SCDPT2SN2!$N$27</definedName>
    <definedName name="SCDPT2SN2_551ENDINGG_13" localSheetId="4">GMIC_22A_SCDPT2SN2!$O$27</definedName>
    <definedName name="SCDPT2SN2_551ENDINGG_14" localSheetId="4">GMIC_22A_SCDPT2SN2!$P$27</definedName>
    <definedName name="SCDPT2SN2_551ENDINGG_15" localSheetId="4">GMIC_22A_SCDPT2SN2!$Q$27</definedName>
    <definedName name="SCDPT2SN2_551ENDINGG_16" localSheetId="4">GMIC_22A_SCDPT2SN2!$R$27</definedName>
    <definedName name="SCDPT2SN2_551ENDINGG_17" localSheetId="4">GMIC_22A_SCDPT2SN2!$S$27</definedName>
    <definedName name="SCDPT2SN2_551ENDINGG_18.01" localSheetId="4">GMIC_22A_SCDPT2SN2!$T$27</definedName>
    <definedName name="SCDPT2SN2_551ENDINGG_18.02" localSheetId="4">GMIC_22A_SCDPT2SN2!$U$27</definedName>
    <definedName name="SCDPT2SN2_551ENDINGG_18.03" localSheetId="4">GMIC_22A_SCDPT2SN2!$V$27</definedName>
    <definedName name="SCDPT2SN2_551ENDINGG_19" localSheetId="4">GMIC_22A_SCDPT2SN2!$W$27</definedName>
    <definedName name="SCDPT2SN2_551ENDINGG_2" localSheetId="4">GMIC_22A_SCDPT2SN2!$D$27</definedName>
    <definedName name="SCDPT2SN2_551ENDINGG_20" localSheetId="4">GMIC_22A_SCDPT2SN2!$X$27</definedName>
    <definedName name="SCDPT2SN2_551ENDINGG_21" localSheetId="4">GMIC_22A_SCDPT2SN2!$Y$27</definedName>
    <definedName name="SCDPT2SN2_551ENDINGG_22" localSheetId="4">GMIC_22A_SCDPT2SN2!$Z$27</definedName>
    <definedName name="SCDPT2SN2_551ENDINGG_23" localSheetId="4">GMIC_22A_SCDPT2SN2!$AA$27</definedName>
    <definedName name="SCDPT2SN2_551ENDINGG_24" localSheetId="4">GMIC_22A_SCDPT2SN2!$AB$27</definedName>
    <definedName name="SCDPT2SN2_551ENDINGG_25" localSheetId="4">GMIC_22A_SCDPT2SN2!$AC$27</definedName>
    <definedName name="SCDPT2SN2_551ENDINGG_26" localSheetId="4">GMIC_22A_SCDPT2SN2!$AD$27</definedName>
    <definedName name="SCDPT2SN2_551ENDINGG_3" localSheetId="4">GMIC_22A_SCDPT2SN2!$E$27</definedName>
    <definedName name="SCDPT2SN2_551ENDINGG_4" localSheetId="4">GMIC_22A_SCDPT2SN2!$F$27</definedName>
    <definedName name="SCDPT2SN2_551ENDINGG_5" localSheetId="4">GMIC_22A_SCDPT2SN2!$G$27</definedName>
    <definedName name="SCDPT2SN2_551ENDINGG_6" localSheetId="4">GMIC_22A_SCDPT2SN2!$H$27</definedName>
    <definedName name="SCDPT2SN2_551ENDINGG_7" localSheetId="4">GMIC_22A_SCDPT2SN2!$I$27</definedName>
    <definedName name="SCDPT2SN2_551ENDINGG_8" localSheetId="4">GMIC_22A_SCDPT2SN2!$J$27</definedName>
    <definedName name="SCDPT2SN2_551ENDINGG_9" localSheetId="4">GMIC_22A_SCDPT2SN2!$K$27</definedName>
    <definedName name="SCDPT2SN2_5520000000_Range" localSheetId="4">GMIC_22A_SCDPT2SN2!$B$29:$AD$31</definedName>
    <definedName name="SCDPT2SN2_5529999999_10" localSheetId="4">GMIC_22A_SCDPT2SN2!$L$32</definedName>
    <definedName name="SCDPT2SN2_5529999999_11" localSheetId="4">GMIC_22A_SCDPT2SN2!$M$32</definedName>
    <definedName name="SCDPT2SN2_5529999999_12" localSheetId="4">GMIC_22A_SCDPT2SN2!$N$32</definedName>
    <definedName name="SCDPT2SN2_5529999999_13" localSheetId="4">GMIC_22A_SCDPT2SN2!$O$32</definedName>
    <definedName name="SCDPT2SN2_5529999999_14" localSheetId="4">GMIC_22A_SCDPT2SN2!$P$32</definedName>
    <definedName name="SCDPT2SN2_5529999999_15" localSheetId="4">GMIC_22A_SCDPT2SN2!$Q$32</definedName>
    <definedName name="SCDPT2SN2_5529999999_16" localSheetId="4">GMIC_22A_SCDPT2SN2!$R$32</definedName>
    <definedName name="SCDPT2SN2_5529999999_6" localSheetId="4">GMIC_22A_SCDPT2SN2!$H$32</definedName>
    <definedName name="SCDPT2SN2_5529999999_8" localSheetId="4">GMIC_22A_SCDPT2SN2!$J$32</definedName>
    <definedName name="SCDPT2SN2_5529999999_9" localSheetId="4">GMIC_22A_SCDPT2SN2!$K$32</definedName>
    <definedName name="SCDPT2SN2_552BEGINNG_1" localSheetId="4">GMIC_22A_SCDPT2SN2!$C$29</definedName>
    <definedName name="SCDPT2SN2_552BEGINNG_10" localSheetId="4">GMIC_22A_SCDPT2SN2!$L$29</definedName>
    <definedName name="SCDPT2SN2_552BEGINNG_11" localSheetId="4">GMIC_22A_SCDPT2SN2!$M$29</definedName>
    <definedName name="SCDPT2SN2_552BEGINNG_12" localSheetId="4">GMIC_22A_SCDPT2SN2!$N$29</definedName>
    <definedName name="SCDPT2SN2_552BEGINNG_13" localSheetId="4">GMIC_22A_SCDPT2SN2!$O$29</definedName>
    <definedName name="SCDPT2SN2_552BEGINNG_14" localSheetId="4">GMIC_22A_SCDPT2SN2!$P$29</definedName>
    <definedName name="SCDPT2SN2_552BEGINNG_15" localSheetId="4">GMIC_22A_SCDPT2SN2!$Q$29</definedName>
    <definedName name="SCDPT2SN2_552BEGINNG_16" localSheetId="4">GMIC_22A_SCDPT2SN2!$R$29</definedName>
    <definedName name="SCDPT2SN2_552BEGINNG_17" localSheetId="4">GMIC_22A_SCDPT2SN2!$S$29</definedName>
    <definedName name="SCDPT2SN2_552BEGINNG_18.01" localSheetId="4">GMIC_22A_SCDPT2SN2!$T$29</definedName>
    <definedName name="SCDPT2SN2_552BEGINNG_18.02" localSheetId="4">GMIC_22A_SCDPT2SN2!$U$29</definedName>
    <definedName name="SCDPT2SN2_552BEGINNG_18.03" localSheetId="4">GMIC_22A_SCDPT2SN2!$V$29</definedName>
    <definedName name="SCDPT2SN2_552BEGINNG_19" localSheetId="4">GMIC_22A_SCDPT2SN2!$W$29</definedName>
    <definedName name="SCDPT2SN2_552BEGINNG_2" localSheetId="4">GMIC_22A_SCDPT2SN2!$D$29</definedName>
    <definedName name="SCDPT2SN2_552BEGINNG_20" localSheetId="4">GMIC_22A_SCDPT2SN2!$X$29</definedName>
    <definedName name="SCDPT2SN2_552BEGINNG_21" localSheetId="4">GMIC_22A_SCDPT2SN2!$Y$29</definedName>
    <definedName name="SCDPT2SN2_552BEGINNG_22" localSheetId="4">GMIC_22A_SCDPT2SN2!$Z$29</definedName>
    <definedName name="SCDPT2SN2_552BEGINNG_23" localSheetId="4">GMIC_22A_SCDPT2SN2!$AA$29</definedName>
    <definedName name="SCDPT2SN2_552BEGINNG_24" localSheetId="4">GMIC_22A_SCDPT2SN2!$AB$29</definedName>
    <definedName name="SCDPT2SN2_552BEGINNG_25" localSheetId="4">GMIC_22A_SCDPT2SN2!$AC$29</definedName>
    <definedName name="SCDPT2SN2_552BEGINNG_26" localSheetId="4">GMIC_22A_SCDPT2SN2!$AD$29</definedName>
    <definedName name="SCDPT2SN2_552BEGINNG_3" localSheetId="4">GMIC_22A_SCDPT2SN2!$E$29</definedName>
    <definedName name="SCDPT2SN2_552BEGINNG_4" localSheetId="4">GMIC_22A_SCDPT2SN2!$F$29</definedName>
    <definedName name="SCDPT2SN2_552BEGINNG_5" localSheetId="4">GMIC_22A_SCDPT2SN2!$G$29</definedName>
    <definedName name="SCDPT2SN2_552BEGINNG_6" localSheetId="4">GMIC_22A_SCDPT2SN2!$H$29</definedName>
    <definedName name="SCDPT2SN2_552BEGINNG_7" localSheetId="4">GMIC_22A_SCDPT2SN2!$I$29</definedName>
    <definedName name="SCDPT2SN2_552BEGINNG_8" localSheetId="4">GMIC_22A_SCDPT2SN2!$J$29</definedName>
    <definedName name="SCDPT2SN2_552BEGINNG_9" localSheetId="4">GMIC_22A_SCDPT2SN2!$K$29</definedName>
    <definedName name="SCDPT2SN2_552ENDINGG_10" localSheetId="4">GMIC_22A_SCDPT2SN2!$L$31</definedName>
    <definedName name="SCDPT2SN2_552ENDINGG_11" localSheetId="4">GMIC_22A_SCDPT2SN2!$M$31</definedName>
    <definedName name="SCDPT2SN2_552ENDINGG_12" localSheetId="4">GMIC_22A_SCDPT2SN2!$N$31</definedName>
    <definedName name="SCDPT2SN2_552ENDINGG_13" localSheetId="4">GMIC_22A_SCDPT2SN2!$O$31</definedName>
    <definedName name="SCDPT2SN2_552ENDINGG_14" localSheetId="4">GMIC_22A_SCDPT2SN2!$P$31</definedName>
    <definedName name="SCDPT2SN2_552ENDINGG_15" localSheetId="4">GMIC_22A_SCDPT2SN2!$Q$31</definedName>
    <definedName name="SCDPT2SN2_552ENDINGG_16" localSheetId="4">GMIC_22A_SCDPT2SN2!$R$31</definedName>
    <definedName name="SCDPT2SN2_552ENDINGG_17" localSheetId="4">GMIC_22A_SCDPT2SN2!$S$31</definedName>
    <definedName name="SCDPT2SN2_552ENDINGG_18.01" localSheetId="4">GMIC_22A_SCDPT2SN2!$T$31</definedName>
    <definedName name="SCDPT2SN2_552ENDINGG_18.02" localSheetId="4">GMIC_22A_SCDPT2SN2!$U$31</definedName>
    <definedName name="SCDPT2SN2_552ENDINGG_18.03" localSheetId="4">GMIC_22A_SCDPT2SN2!$V$31</definedName>
    <definedName name="SCDPT2SN2_552ENDINGG_19" localSheetId="4">GMIC_22A_SCDPT2SN2!$W$31</definedName>
    <definedName name="SCDPT2SN2_552ENDINGG_2" localSheetId="4">GMIC_22A_SCDPT2SN2!$D$31</definedName>
    <definedName name="SCDPT2SN2_552ENDINGG_20" localSheetId="4">GMIC_22A_SCDPT2SN2!$X$31</definedName>
    <definedName name="SCDPT2SN2_552ENDINGG_21" localSheetId="4">GMIC_22A_SCDPT2SN2!$Y$31</definedName>
    <definedName name="SCDPT2SN2_552ENDINGG_22" localSheetId="4">GMIC_22A_SCDPT2SN2!$Z$31</definedName>
    <definedName name="SCDPT2SN2_552ENDINGG_23" localSheetId="4">GMIC_22A_SCDPT2SN2!$AA$31</definedName>
    <definedName name="SCDPT2SN2_552ENDINGG_24" localSheetId="4">GMIC_22A_SCDPT2SN2!$AB$31</definedName>
    <definedName name="SCDPT2SN2_552ENDINGG_25" localSheetId="4">GMIC_22A_SCDPT2SN2!$AC$31</definedName>
    <definedName name="SCDPT2SN2_552ENDINGG_26" localSheetId="4">GMIC_22A_SCDPT2SN2!$AD$31</definedName>
    <definedName name="SCDPT2SN2_552ENDINGG_3" localSheetId="4">GMIC_22A_SCDPT2SN2!$E$31</definedName>
    <definedName name="SCDPT2SN2_552ENDINGG_4" localSheetId="4">GMIC_22A_SCDPT2SN2!$F$31</definedName>
    <definedName name="SCDPT2SN2_552ENDINGG_5" localSheetId="4">GMIC_22A_SCDPT2SN2!$G$31</definedName>
    <definedName name="SCDPT2SN2_552ENDINGG_6" localSheetId="4">GMIC_22A_SCDPT2SN2!$H$31</definedName>
    <definedName name="SCDPT2SN2_552ENDINGG_7" localSheetId="4">GMIC_22A_SCDPT2SN2!$I$31</definedName>
    <definedName name="SCDPT2SN2_552ENDINGG_8" localSheetId="4">GMIC_22A_SCDPT2SN2!$J$31</definedName>
    <definedName name="SCDPT2SN2_552ENDINGG_9" localSheetId="4">GMIC_22A_SCDPT2SN2!$K$31</definedName>
    <definedName name="SCDPT2SN2_5609999999_10" localSheetId="4">GMIC_22A_SCDPT2SN2!$L$33</definedName>
    <definedName name="SCDPT2SN2_5609999999_11" localSheetId="4">GMIC_22A_SCDPT2SN2!$M$33</definedName>
    <definedName name="SCDPT2SN2_5609999999_12" localSheetId="4">GMIC_22A_SCDPT2SN2!$N$33</definedName>
    <definedName name="SCDPT2SN2_5609999999_13" localSheetId="4">GMIC_22A_SCDPT2SN2!$O$33</definedName>
    <definedName name="SCDPT2SN2_5609999999_14" localSheetId="4">GMIC_22A_SCDPT2SN2!$P$33</definedName>
    <definedName name="SCDPT2SN2_5609999999_15" localSheetId="4">GMIC_22A_SCDPT2SN2!$Q$33</definedName>
    <definedName name="SCDPT2SN2_5609999999_16" localSheetId="4">GMIC_22A_SCDPT2SN2!$R$33</definedName>
    <definedName name="SCDPT2SN2_5609999999_6" localSheetId="4">GMIC_22A_SCDPT2SN2!$H$33</definedName>
    <definedName name="SCDPT2SN2_5609999999_8" localSheetId="4">GMIC_22A_SCDPT2SN2!$J$33</definedName>
    <definedName name="SCDPT2SN2_5609999999_9" localSheetId="4">GMIC_22A_SCDPT2SN2!$K$33</definedName>
    <definedName name="SCDPT2SN2_5710000000_Range" localSheetId="4">GMIC_22A_SCDPT2SN2!$B$34:$AD$36</definedName>
    <definedName name="SCDPT2SN2_5719999999_10" localSheetId="4">GMIC_22A_SCDPT2SN2!$L$37</definedName>
    <definedName name="SCDPT2SN2_5719999999_11" localSheetId="4">GMIC_22A_SCDPT2SN2!$M$37</definedName>
    <definedName name="SCDPT2SN2_5719999999_12" localSheetId="4">GMIC_22A_SCDPT2SN2!$N$37</definedName>
    <definedName name="SCDPT2SN2_5719999999_13" localSheetId="4">GMIC_22A_SCDPT2SN2!$O$37</definedName>
    <definedName name="SCDPT2SN2_5719999999_14" localSheetId="4">GMIC_22A_SCDPT2SN2!$P$37</definedName>
    <definedName name="SCDPT2SN2_5719999999_15" localSheetId="4">GMIC_22A_SCDPT2SN2!$Q$37</definedName>
    <definedName name="SCDPT2SN2_5719999999_16" localSheetId="4">GMIC_22A_SCDPT2SN2!$R$37</definedName>
    <definedName name="SCDPT2SN2_5719999999_6" localSheetId="4">GMIC_22A_SCDPT2SN2!$H$37</definedName>
    <definedName name="SCDPT2SN2_5719999999_8" localSheetId="4">GMIC_22A_SCDPT2SN2!$J$37</definedName>
    <definedName name="SCDPT2SN2_5719999999_9" localSheetId="4">GMIC_22A_SCDPT2SN2!$K$37</definedName>
    <definedName name="SCDPT2SN2_571BEGINNG_1" localSheetId="4">GMIC_22A_SCDPT2SN2!$C$34</definedName>
    <definedName name="SCDPT2SN2_571BEGINNG_10" localSheetId="4">GMIC_22A_SCDPT2SN2!$L$34</definedName>
    <definedName name="SCDPT2SN2_571BEGINNG_11" localSheetId="4">GMIC_22A_SCDPT2SN2!$M$34</definedName>
    <definedName name="SCDPT2SN2_571BEGINNG_12" localSheetId="4">GMIC_22A_SCDPT2SN2!$N$34</definedName>
    <definedName name="SCDPT2SN2_571BEGINNG_13" localSheetId="4">GMIC_22A_SCDPT2SN2!$O$34</definedName>
    <definedName name="SCDPT2SN2_571BEGINNG_14" localSheetId="4">GMIC_22A_SCDPT2SN2!$P$34</definedName>
    <definedName name="SCDPT2SN2_571BEGINNG_15" localSheetId="4">GMIC_22A_SCDPT2SN2!$Q$34</definedName>
    <definedName name="SCDPT2SN2_571BEGINNG_16" localSheetId="4">GMIC_22A_SCDPT2SN2!$R$34</definedName>
    <definedName name="SCDPT2SN2_571BEGINNG_17" localSheetId="4">GMIC_22A_SCDPT2SN2!$S$34</definedName>
    <definedName name="SCDPT2SN2_571BEGINNG_18.01" localSheetId="4">GMIC_22A_SCDPT2SN2!$T$34</definedName>
    <definedName name="SCDPT2SN2_571BEGINNG_18.02" localSheetId="4">GMIC_22A_SCDPT2SN2!$U$34</definedName>
    <definedName name="SCDPT2SN2_571BEGINNG_18.03" localSheetId="4">GMIC_22A_SCDPT2SN2!$V$34</definedName>
    <definedName name="SCDPT2SN2_571BEGINNG_19" localSheetId="4">GMIC_22A_SCDPT2SN2!$W$34</definedName>
    <definedName name="SCDPT2SN2_571BEGINNG_2" localSheetId="4">GMIC_22A_SCDPT2SN2!$D$34</definedName>
    <definedName name="SCDPT2SN2_571BEGINNG_20" localSheetId="4">GMIC_22A_SCDPT2SN2!$X$34</definedName>
    <definedName name="SCDPT2SN2_571BEGINNG_21" localSheetId="4">GMIC_22A_SCDPT2SN2!$Y$34</definedName>
    <definedName name="SCDPT2SN2_571BEGINNG_22" localSheetId="4">GMIC_22A_SCDPT2SN2!$Z$34</definedName>
    <definedName name="SCDPT2SN2_571BEGINNG_23" localSheetId="4">GMIC_22A_SCDPT2SN2!$AA$34</definedName>
    <definedName name="SCDPT2SN2_571BEGINNG_24" localSheetId="4">GMIC_22A_SCDPT2SN2!$AB$34</definedName>
    <definedName name="SCDPT2SN2_571BEGINNG_25" localSheetId="4">GMIC_22A_SCDPT2SN2!$AC$34</definedName>
    <definedName name="SCDPT2SN2_571BEGINNG_26" localSheetId="4">GMIC_22A_SCDPT2SN2!$AD$34</definedName>
    <definedName name="SCDPT2SN2_571BEGINNG_3" localSheetId="4">GMIC_22A_SCDPT2SN2!$E$34</definedName>
    <definedName name="SCDPT2SN2_571BEGINNG_4" localSheetId="4">GMIC_22A_SCDPT2SN2!$F$34</definedName>
    <definedName name="SCDPT2SN2_571BEGINNG_5" localSheetId="4">GMIC_22A_SCDPT2SN2!$G$34</definedName>
    <definedName name="SCDPT2SN2_571BEGINNG_6" localSheetId="4">GMIC_22A_SCDPT2SN2!$H$34</definedName>
    <definedName name="SCDPT2SN2_571BEGINNG_7" localSheetId="4">GMIC_22A_SCDPT2SN2!$I$34</definedName>
    <definedName name="SCDPT2SN2_571BEGINNG_8" localSheetId="4">GMIC_22A_SCDPT2SN2!$J$34</definedName>
    <definedName name="SCDPT2SN2_571BEGINNG_9" localSheetId="4">GMIC_22A_SCDPT2SN2!$K$34</definedName>
    <definedName name="SCDPT2SN2_571ENDINGG_10" localSheetId="4">GMIC_22A_SCDPT2SN2!$L$36</definedName>
    <definedName name="SCDPT2SN2_571ENDINGG_11" localSheetId="4">GMIC_22A_SCDPT2SN2!$M$36</definedName>
    <definedName name="SCDPT2SN2_571ENDINGG_12" localSheetId="4">GMIC_22A_SCDPT2SN2!$N$36</definedName>
    <definedName name="SCDPT2SN2_571ENDINGG_13" localSheetId="4">GMIC_22A_SCDPT2SN2!$O$36</definedName>
    <definedName name="SCDPT2SN2_571ENDINGG_14" localSheetId="4">GMIC_22A_SCDPT2SN2!$P$36</definedName>
    <definedName name="SCDPT2SN2_571ENDINGG_15" localSheetId="4">GMIC_22A_SCDPT2SN2!$Q$36</definedName>
    <definedName name="SCDPT2SN2_571ENDINGG_16" localSheetId="4">GMIC_22A_SCDPT2SN2!$R$36</definedName>
    <definedName name="SCDPT2SN2_571ENDINGG_17" localSheetId="4">GMIC_22A_SCDPT2SN2!$S$36</definedName>
    <definedName name="SCDPT2SN2_571ENDINGG_18.01" localSheetId="4">GMIC_22A_SCDPT2SN2!$T$36</definedName>
    <definedName name="SCDPT2SN2_571ENDINGG_18.02" localSheetId="4">GMIC_22A_SCDPT2SN2!$U$36</definedName>
    <definedName name="SCDPT2SN2_571ENDINGG_18.03" localSheetId="4">GMIC_22A_SCDPT2SN2!$V$36</definedName>
    <definedName name="SCDPT2SN2_571ENDINGG_19" localSheetId="4">GMIC_22A_SCDPT2SN2!$W$36</definedName>
    <definedName name="SCDPT2SN2_571ENDINGG_2" localSheetId="4">GMIC_22A_SCDPT2SN2!$D$36</definedName>
    <definedName name="SCDPT2SN2_571ENDINGG_20" localSheetId="4">GMIC_22A_SCDPT2SN2!$X$36</definedName>
    <definedName name="SCDPT2SN2_571ENDINGG_21" localSheetId="4">GMIC_22A_SCDPT2SN2!$Y$36</definedName>
    <definedName name="SCDPT2SN2_571ENDINGG_22" localSheetId="4">GMIC_22A_SCDPT2SN2!$Z$36</definedName>
    <definedName name="SCDPT2SN2_571ENDINGG_23" localSheetId="4">GMIC_22A_SCDPT2SN2!$AA$36</definedName>
    <definedName name="SCDPT2SN2_571ENDINGG_24" localSheetId="4">GMIC_22A_SCDPT2SN2!$AB$36</definedName>
    <definedName name="SCDPT2SN2_571ENDINGG_25" localSheetId="4">GMIC_22A_SCDPT2SN2!$AC$36</definedName>
    <definedName name="SCDPT2SN2_571ENDINGG_26" localSheetId="4">GMIC_22A_SCDPT2SN2!$AD$36</definedName>
    <definedName name="SCDPT2SN2_571ENDINGG_3" localSheetId="4">GMIC_22A_SCDPT2SN2!$E$36</definedName>
    <definedName name="SCDPT2SN2_571ENDINGG_4" localSheetId="4">GMIC_22A_SCDPT2SN2!$F$36</definedName>
    <definedName name="SCDPT2SN2_571ENDINGG_5" localSheetId="4">GMIC_22A_SCDPT2SN2!$G$36</definedName>
    <definedName name="SCDPT2SN2_571ENDINGG_6" localSheetId="4">GMIC_22A_SCDPT2SN2!$H$36</definedName>
    <definedName name="SCDPT2SN2_571ENDINGG_7" localSheetId="4">GMIC_22A_SCDPT2SN2!$I$36</definedName>
    <definedName name="SCDPT2SN2_571ENDINGG_8" localSheetId="4">GMIC_22A_SCDPT2SN2!$J$36</definedName>
    <definedName name="SCDPT2SN2_571ENDINGG_9" localSheetId="4">GMIC_22A_SCDPT2SN2!$K$36</definedName>
    <definedName name="SCDPT2SN2_5720000000_Range" localSheetId="4">GMIC_22A_SCDPT2SN2!$B$38:$AD$40</definedName>
    <definedName name="SCDPT2SN2_5729999999_10" localSheetId="4">GMIC_22A_SCDPT2SN2!$L$41</definedName>
    <definedName name="SCDPT2SN2_5729999999_11" localSheetId="4">GMIC_22A_SCDPT2SN2!$M$41</definedName>
    <definedName name="SCDPT2SN2_5729999999_12" localSheetId="4">GMIC_22A_SCDPT2SN2!$N$41</definedName>
    <definedName name="SCDPT2SN2_5729999999_13" localSheetId="4">GMIC_22A_SCDPT2SN2!$O$41</definedName>
    <definedName name="SCDPT2SN2_5729999999_14" localSheetId="4">GMIC_22A_SCDPT2SN2!$P$41</definedName>
    <definedName name="SCDPT2SN2_5729999999_15" localSheetId="4">GMIC_22A_SCDPT2SN2!$Q$41</definedName>
    <definedName name="SCDPT2SN2_5729999999_16" localSheetId="4">GMIC_22A_SCDPT2SN2!$R$41</definedName>
    <definedName name="SCDPT2SN2_5729999999_6" localSheetId="4">GMIC_22A_SCDPT2SN2!$H$41</definedName>
    <definedName name="SCDPT2SN2_5729999999_8" localSheetId="4">GMIC_22A_SCDPT2SN2!$J$41</definedName>
    <definedName name="SCDPT2SN2_5729999999_9" localSheetId="4">GMIC_22A_SCDPT2SN2!$K$41</definedName>
    <definedName name="SCDPT2SN2_572BEGINNG_1" localSheetId="4">GMIC_22A_SCDPT2SN2!$C$38</definedName>
    <definedName name="SCDPT2SN2_572BEGINNG_10" localSheetId="4">GMIC_22A_SCDPT2SN2!$L$38</definedName>
    <definedName name="SCDPT2SN2_572BEGINNG_11" localSheetId="4">GMIC_22A_SCDPT2SN2!$M$38</definedName>
    <definedName name="SCDPT2SN2_572BEGINNG_12" localSheetId="4">GMIC_22A_SCDPT2SN2!$N$38</definedName>
    <definedName name="SCDPT2SN2_572BEGINNG_13" localSheetId="4">GMIC_22A_SCDPT2SN2!$O$38</definedName>
    <definedName name="SCDPT2SN2_572BEGINNG_14" localSheetId="4">GMIC_22A_SCDPT2SN2!$P$38</definedName>
    <definedName name="SCDPT2SN2_572BEGINNG_15" localSheetId="4">GMIC_22A_SCDPT2SN2!$Q$38</definedName>
    <definedName name="SCDPT2SN2_572BEGINNG_16" localSheetId="4">GMIC_22A_SCDPT2SN2!$R$38</definedName>
    <definedName name="SCDPT2SN2_572BEGINNG_17" localSheetId="4">GMIC_22A_SCDPT2SN2!$S$38</definedName>
    <definedName name="SCDPT2SN2_572BEGINNG_18.01" localSheetId="4">GMIC_22A_SCDPT2SN2!$T$38</definedName>
    <definedName name="SCDPT2SN2_572BEGINNG_18.02" localSheetId="4">GMIC_22A_SCDPT2SN2!$U$38</definedName>
    <definedName name="SCDPT2SN2_572BEGINNG_18.03" localSheetId="4">GMIC_22A_SCDPT2SN2!$V$38</definedName>
    <definedName name="SCDPT2SN2_572BEGINNG_19" localSheetId="4">GMIC_22A_SCDPT2SN2!$W$38</definedName>
    <definedName name="SCDPT2SN2_572BEGINNG_2" localSheetId="4">GMIC_22A_SCDPT2SN2!$D$38</definedName>
    <definedName name="SCDPT2SN2_572BEGINNG_20" localSheetId="4">GMIC_22A_SCDPT2SN2!$X$38</definedName>
    <definedName name="SCDPT2SN2_572BEGINNG_21" localSheetId="4">GMIC_22A_SCDPT2SN2!$Y$38</definedName>
    <definedName name="SCDPT2SN2_572BEGINNG_22" localSheetId="4">GMIC_22A_SCDPT2SN2!$Z$38</definedName>
    <definedName name="SCDPT2SN2_572BEGINNG_23" localSheetId="4">GMIC_22A_SCDPT2SN2!$AA$38</definedName>
    <definedName name="SCDPT2SN2_572BEGINNG_24" localSheetId="4">GMIC_22A_SCDPT2SN2!$AB$38</definedName>
    <definedName name="SCDPT2SN2_572BEGINNG_25" localSheetId="4">GMIC_22A_SCDPT2SN2!$AC$38</definedName>
    <definedName name="SCDPT2SN2_572BEGINNG_26" localSheetId="4">GMIC_22A_SCDPT2SN2!$AD$38</definedName>
    <definedName name="SCDPT2SN2_572BEGINNG_3" localSheetId="4">GMIC_22A_SCDPT2SN2!$E$38</definedName>
    <definedName name="SCDPT2SN2_572BEGINNG_4" localSheetId="4">GMIC_22A_SCDPT2SN2!$F$38</definedName>
    <definedName name="SCDPT2SN2_572BEGINNG_5" localSheetId="4">GMIC_22A_SCDPT2SN2!$G$38</definedName>
    <definedName name="SCDPT2SN2_572BEGINNG_6" localSheetId="4">GMIC_22A_SCDPT2SN2!$H$38</definedName>
    <definedName name="SCDPT2SN2_572BEGINNG_7" localSheetId="4">GMIC_22A_SCDPT2SN2!$I$38</definedName>
    <definedName name="SCDPT2SN2_572BEGINNG_8" localSheetId="4">GMIC_22A_SCDPT2SN2!$J$38</definedName>
    <definedName name="SCDPT2SN2_572BEGINNG_9" localSheetId="4">GMIC_22A_SCDPT2SN2!$K$38</definedName>
    <definedName name="SCDPT2SN2_572ENDINGG_10" localSheetId="4">GMIC_22A_SCDPT2SN2!$L$40</definedName>
    <definedName name="SCDPT2SN2_572ENDINGG_11" localSheetId="4">GMIC_22A_SCDPT2SN2!$M$40</definedName>
    <definedName name="SCDPT2SN2_572ENDINGG_12" localSheetId="4">GMIC_22A_SCDPT2SN2!$N$40</definedName>
    <definedName name="SCDPT2SN2_572ENDINGG_13" localSheetId="4">GMIC_22A_SCDPT2SN2!$O$40</definedName>
    <definedName name="SCDPT2SN2_572ENDINGG_14" localSheetId="4">GMIC_22A_SCDPT2SN2!$P$40</definedName>
    <definedName name="SCDPT2SN2_572ENDINGG_15" localSheetId="4">GMIC_22A_SCDPT2SN2!$Q$40</definedName>
    <definedName name="SCDPT2SN2_572ENDINGG_16" localSheetId="4">GMIC_22A_SCDPT2SN2!$R$40</definedName>
    <definedName name="SCDPT2SN2_572ENDINGG_17" localSheetId="4">GMIC_22A_SCDPT2SN2!$S$40</definedName>
    <definedName name="SCDPT2SN2_572ENDINGG_18.01" localSheetId="4">GMIC_22A_SCDPT2SN2!$T$40</definedName>
    <definedName name="SCDPT2SN2_572ENDINGG_18.02" localSheetId="4">GMIC_22A_SCDPT2SN2!$U$40</definedName>
    <definedName name="SCDPT2SN2_572ENDINGG_18.03" localSheetId="4">GMIC_22A_SCDPT2SN2!$V$40</definedName>
    <definedName name="SCDPT2SN2_572ENDINGG_19" localSheetId="4">GMIC_22A_SCDPT2SN2!$W$40</definedName>
    <definedName name="SCDPT2SN2_572ENDINGG_2" localSheetId="4">GMIC_22A_SCDPT2SN2!$D$40</definedName>
    <definedName name="SCDPT2SN2_572ENDINGG_20" localSheetId="4">GMIC_22A_SCDPT2SN2!$X$40</definedName>
    <definedName name="SCDPT2SN2_572ENDINGG_21" localSheetId="4">GMIC_22A_SCDPT2SN2!$Y$40</definedName>
    <definedName name="SCDPT2SN2_572ENDINGG_22" localSheetId="4">GMIC_22A_SCDPT2SN2!$Z$40</definedName>
    <definedName name="SCDPT2SN2_572ENDINGG_23" localSheetId="4">GMIC_22A_SCDPT2SN2!$AA$40</definedName>
    <definedName name="SCDPT2SN2_572ENDINGG_24" localSheetId="4">GMIC_22A_SCDPT2SN2!$AB$40</definedName>
    <definedName name="SCDPT2SN2_572ENDINGG_25" localSheetId="4">GMIC_22A_SCDPT2SN2!$AC$40</definedName>
    <definedName name="SCDPT2SN2_572ENDINGG_26" localSheetId="4">GMIC_22A_SCDPT2SN2!$AD$40</definedName>
    <definedName name="SCDPT2SN2_572ENDINGG_3" localSheetId="4">GMIC_22A_SCDPT2SN2!$E$40</definedName>
    <definedName name="SCDPT2SN2_572ENDINGG_4" localSheetId="4">GMIC_22A_SCDPT2SN2!$F$40</definedName>
    <definedName name="SCDPT2SN2_572ENDINGG_5" localSheetId="4">GMIC_22A_SCDPT2SN2!$G$40</definedName>
    <definedName name="SCDPT2SN2_572ENDINGG_6" localSheetId="4">GMIC_22A_SCDPT2SN2!$H$40</definedName>
    <definedName name="SCDPT2SN2_572ENDINGG_7" localSheetId="4">GMIC_22A_SCDPT2SN2!$I$40</definedName>
    <definedName name="SCDPT2SN2_572ENDINGG_8" localSheetId="4">GMIC_22A_SCDPT2SN2!$J$40</definedName>
    <definedName name="SCDPT2SN2_572ENDINGG_9" localSheetId="4">GMIC_22A_SCDPT2SN2!$K$40</definedName>
    <definedName name="SCDPT2SN2_5809999999_10" localSheetId="4">GMIC_22A_SCDPT2SN2!$L$42</definedName>
    <definedName name="SCDPT2SN2_5809999999_11" localSheetId="4">GMIC_22A_SCDPT2SN2!$M$42</definedName>
    <definedName name="SCDPT2SN2_5809999999_12" localSheetId="4">GMIC_22A_SCDPT2SN2!$N$42</definedName>
    <definedName name="SCDPT2SN2_5809999999_13" localSheetId="4">GMIC_22A_SCDPT2SN2!$O$42</definedName>
    <definedName name="SCDPT2SN2_5809999999_14" localSheetId="4">GMIC_22A_SCDPT2SN2!$P$42</definedName>
    <definedName name="SCDPT2SN2_5809999999_15" localSheetId="4">GMIC_22A_SCDPT2SN2!$Q$42</definedName>
    <definedName name="SCDPT2SN2_5809999999_16" localSheetId="4">GMIC_22A_SCDPT2SN2!$R$42</definedName>
    <definedName name="SCDPT2SN2_5809999999_6" localSheetId="4">GMIC_22A_SCDPT2SN2!$H$42</definedName>
    <definedName name="SCDPT2SN2_5809999999_8" localSheetId="4">GMIC_22A_SCDPT2SN2!$J$42</definedName>
    <definedName name="SCDPT2SN2_5809999999_9" localSheetId="4">GMIC_22A_SCDPT2SN2!$K$42</definedName>
    <definedName name="SCDPT2SN2_5810000000_Range" localSheetId="4">GMIC_22A_SCDPT2SN2!$B$43:$AD$45</definedName>
    <definedName name="SCDPT2SN2_5819999999_10" localSheetId="4">GMIC_22A_SCDPT2SN2!$L$46</definedName>
    <definedName name="SCDPT2SN2_5819999999_11" localSheetId="4">GMIC_22A_SCDPT2SN2!$M$46</definedName>
    <definedName name="SCDPT2SN2_5819999999_12" localSheetId="4">GMIC_22A_SCDPT2SN2!$N$46</definedName>
    <definedName name="SCDPT2SN2_5819999999_13" localSheetId="4">GMIC_22A_SCDPT2SN2!$O$46</definedName>
    <definedName name="SCDPT2SN2_5819999999_14" localSheetId="4">GMIC_22A_SCDPT2SN2!$P$46</definedName>
    <definedName name="SCDPT2SN2_5819999999_15" localSheetId="4">GMIC_22A_SCDPT2SN2!$Q$46</definedName>
    <definedName name="SCDPT2SN2_5819999999_16" localSheetId="4">GMIC_22A_SCDPT2SN2!$R$46</definedName>
    <definedName name="SCDPT2SN2_5819999999_6" localSheetId="4">GMIC_22A_SCDPT2SN2!$H$46</definedName>
    <definedName name="SCDPT2SN2_5819999999_8" localSheetId="4">GMIC_22A_SCDPT2SN2!$J$46</definedName>
    <definedName name="SCDPT2SN2_5819999999_9" localSheetId="4">GMIC_22A_SCDPT2SN2!$K$46</definedName>
    <definedName name="SCDPT2SN2_581BEGINNG_1" localSheetId="4">GMIC_22A_SCDPT2SN2!$C$43</definedName>
    <definedName name="SCDPT2SN2_581BEGINNG_10" localSheetId="4">GMIC_22A_SCDPT2SN2!$L$43</definedName>
    <definedName name="SCDPT2SN2_581BEGINNG_11" localSheetId="4">GMIC_22A_SCDPT2SN2!$M$43</definedName>
    <definedName name="SCDPT2SN2_581BEGINNG_12" localSheetId="4">GMIC_22A_SCDPT2SN2!$N$43</definedName>
    <definedName name="SCDPT2SN2_581BEGINNG_13" localSheetId="4">GMIC_22A_SCDPT2SN2!$O$43</definedName>
    <definedName name="SCDPT2SN2_581BEGINNG_14" localSheetId="4">GMIC_22A_SCDPT2SN2!$P$43</definedName>
    <definedName name="SCDPT2SN2_581BEGINNG_15" localSheetId="4">GMIC_22A_SCDPT2SN2!$Q$43</definedName>
    <definedName name="SCDPT2SN2_581BEGINNG_16" localSheetId="4">GMIC_22A_SCDPT2SN2!$R$43</definedName>
    <definedName name="SCDPT2SN2_581BEGINNG_17" localSheetId="4">GMIC_22A_SCDPT2SN2!$S$43</definedName>
    <definedName name="SCDPT2SN2_581BEGINNG_18.01" localSheetId="4">GMIC_22A_SCDPT2SN2!$T$43</definedName>
    <definedName name="SCDPT2SN2_581BEGINNG_18.02" localSheetId="4">GMIC_22A_SCDPT2SN2!$U$43</definedName>
    <definedName name="SCDPT2SN2_581BEGINNG_18.03" localSheetId="4">GMIC_22A_SCDPT2SN2!$V$43</definedName>
    <definedName name="SCDPT2SN2_581BEGINNG_19" localSheetId="4">GMIC_22A_SCDPT2SN2!$W$43</definedName>
    <definedName name="SCDPT2SN2_581BEGINNG_2" localSheetId="4">GMIC_22A_SCDPT2SN2!$D$43</definedName>
    <definedName name="SCDPT2SN2_581BEGINNG_20" localSheetId="4">GMIC_22A_SCDPT2SN2!$X$43</definedName>
    <definedName name="SCDPT2SN2_581BEGINNG_21" localSheetId="4">GMIC_22A_SCDPT2SN2!$Y$43</definedName>
    <definedName name="SCDPT2SN2_581BEGINNG_22" localSheetId="4">GMIC_22A_SCDPT2SN2!$Z$43</definedName>
    <definedName name="SCDPT2SN2_581BEGINNG_23" localSheetId="4">GMIC_22A_SCDPT2SN2!$AA$43</definedName>
    <definedName name="SCDPT2SN2_581BEGINNG_24" localSheetId="4">GMIC_22A_SCDPT2SN2!$AB$43</definedName>
    <definedName name="SCDPT2SN2_581BEGINNG_25" localSheetId="4">GMIC_22A_SCDPT2SN2!$AC$43</definedName>
    <definedName name="SCDPT2SN2_581BEGINNG_26" localSheetId="4">GMIC_22A_SCDPT2SN2!$AD$43</definedName>
    <definedName name="SCDPT2SN2_581BEGINNG_3" localSheetId="4">GMIC_22A_SCDPT2SN2!$E$43</definedName>
    <definedName name="SCDPT2SN2_581BEGINNG_4" localSheetId="4">GMIC_22A_SCDPT2SN2!$F$43</definedName>
    <definedName name="SCDPT2SN2_581BEGINNG_5" localSheetId="4">GMIC_22A_SCDPT2SN2!$G$43</definedName>
    <definedName name="SCDPT2SN2_581BEGINNG_6" localSheetId="4">GMIC_22A_SCDPT2SN2!$H$43</definedName>
    <definedName name="SCDPT2SN2_581BEGINNG_7" localSheetId="4">GMIC_22A_SCDPT2SN2!$I$43</definedName>
    <definedName name="SCDPT2SN2_581BEGINNG_8" localSheetId="4">GMIC_22A_SCDPT2SN2!$J$43</definedName>
    <definedName name="SCDPT2SN2_581BEGINNG_9" localSheetId="4">GMIC_22A_SCDPT2SN2!$K$43</definedName>
    <definedName name="SCDPT2SN2_581ENDINGG_10" localSheetId="4">GMIC_22A_SCDPT2SN2!$L$45</definedName>
    <definedName name="SCDPT2SN2_581ENDINGG_11" localSheetId="4">GMIC_22A_SCDPT2SN2!$M$45</definedName>
    <definedName name="SCDPT2SN2_581ENDINGG_12" localSheetId="4">GMIC_22A_SCDPT2SN2!$N$45</definedName>
    <definedName name="SCDPT2SN2_581ENDINGG_13" localSheetId="4">GMIC_22A_SCDPT2SN2!$O$45</definedName>
    <definedName name="SCDPT2SN2_581ENDINGG_14" localSheetId="4">GMIC_22A_SCDPT2SN2!$P$45</definedName>
    <definedName name="SCDPT2SN2_581ENDINGG_15" localSheetId="4">GMIC_22A_SCDPT2SN2!$Q$45</definedName>
    <definedName name="SCDPT2SN2_581ENDINGG_16" localSheetId="4">GMIC_22A_SCDPT2SN2!$R$45</definedName>
    <definedName name="SCDPT2SN2_581ENDINGG_17" localSheetId="4">GMIC_22A_SCDPT2SN2!$S$45</definedName>
    <definedName name="SCDPT2SN2_581ENDINGG_18.01" localSheetId="4">GMIC_22A_SCDPT2SN2!$T$45</definedName>
    <definedName name="SCDPT2SN2_581ENDINGG_18.02" localSheetId="4">GMIC_22A_SCDPT2SN2!$U$45</definedName>
    <definedName name="SCDPT2SN2_581ENDINGG_18.03" localSheetId="4">GMIC_22A_SCDPT2SN2!$V$45</definedName>
    <definedName name="SCDPT2SN2_581ENDINGG_19" localSheetId="4">GMIC_22A_SCDPT2SN2!$W$45</definedName>
    <definedName name="SCDPT2SN2_581ENDINGG_2" localSheetId="4">GMIC_22A_SCDPT2SN2!$D$45</definedName>
    <definedName name="SCDPT2SN2_581ENDINGG_20" localSheetId="4">GMIC_22A_SCDPT2SN2!$X$45</definedName>
    <definedName name="SCDPT2SN2_581ENDINGG_21" localSheetId="4">GMIC_22A_SCDPT2SN2!$Y$45</definedName>
    <definedName name="SCDPT2SN2_581ENDINGG_22" localSheetId="4">GMIC_22A_SCDPT2SN2!$Z$45</definedName>
    <definedName name="SCDPT2SN2_581ENDINGG_23" localSheetId="4">GMIC_22A_SCDPT2SN2!$AA$45</definedName>
    <definedName name="SCDPT2SN2_581ENDINGG_24" localSheetId="4">GMIC_22A_SCDPT2SN2!$AB$45</definedName>
    <definedName name="SCDPT2SN2_581ENDINGG_25" localSheetId="4">GMIC_22A_SCDPT2SN2!$AC$45</definedName>
    <definedName name="SCDPT2SN2_581ENDINGG_26" localSheetId="4">GMIC_22A_SCDPT2SN2!$AD$45</definedName>
    <definedName name="SCDPT2SN2_581ENDINGG_3" localSheetId="4">GMIC_22A_SCDPT2SN2!$E$45</definedName>
    <definedName name="SCDPT2SN2_581ENDINGG_4" localSheetId="4">GMIC_22A_SCDPT2SN2!$F$45</definedName>
    <definedName name="SCDPT2SN2_581ENDINGG_5" localSheetId="4">GMIC_22A_SCDPT2SN2!$G$45</definedName>
    <definedName name="SCDPT2SN2_581ENDINGG_6" localSheetId="4">GMIC_22A_SCDPT2SN2!$H$45</definedName>
    <definedName name="SCDPT2SN2_581ENDINGG_7" localSheetId="4">GMIC_22A_SCDPT2SN2!$I$45</definedName>
    <definedName name="SCDPT2SN2_581ENDINGG_8" localSheetId="4">GMIC_22A_SCDPT2SN2!$J$45</definedName>
    <definedName name="SCDPT2SN2_581ENDINGG_9" localSheetId="4">GMIC_22A_SCDPT2SN2!$K$45</definedName>
    <definedName name="SCDPT2SN2_5910000000_Range" localSheetId="4">GMIC_22A_SCDPT2SN2!$B$47:$AD$49</definedName>
    <definedName name="SCDPT2SN2_5919999999_10" localSheetId="4">GMIC_22A_SCDPT2SN2!$L$50</definedName>
    <definedName name="SCDPT2SN2_5919999999_11" localSheetId="4">GMIC_22A_SCDPT2SN2!$M$50</definedName>
    <definedName name="SCDPT2SN2_5919999999_12" localSheetId="4">GMIC_22A_SCDPT2SN2!$N$50</definedName>
    <definedName name="SCDPT2SN2_5919999999_13" localSheetId="4">GMIC_22A_SCDPT2SN2!$O$50</definedName>
    <definedName name="SCDPT2SN2_5919999999_14" localSheetId="4">GMIC_22A_SCDPT2SN2!$P$50</definedName>
    <definedName name="SCDPT2SN2_5919999999_15" localSheetId="4">GMIC_22A_SCDPT2SN2!$Q$50</definedName>
    <definedName name="SCDPT2SN2_5919999999_16" localSheetId="4">GMIC_22A_SCDPT2SN2!$R$50</definedName>
    <definedName name="SCDPT2SN2_5919999999_6" localSheetId="4">GMIC_22A_SCDPT2SN2!$H$50</definedName>
    <definedName name="SCDPT2SN2_5919999999_8" localSheetId="4">GMIC_22A_SCDPT2SN2!$J$50</definedName>
    <definedName name="SCDPT2SN2_5919999999_9" localSheetId="4">GMIC_22A_SCDPT2SN2!$K$50</definedName>
    <definedName name="SCDPT2SN2_591BEGINNG_1" localSheetId="4">GMIC_22A_SCDPT2SN2!$C$47</definedName>
    <definedName name="SCDPT2SN2_591BEGINNG_10" localSheetId="4">GMIC_22A_SCDPT2SN2!$L$47</definedName>
    <definedName name="SCDPT2SN2_591BEGINNG_11" localSheetId="4">GMIC_22A_SCDPT2SN2!$M$47</definedName>
    <definedName name="SCDPT2SN2_591BEGINNG_12" localSheetId="4">GMIC_22A_SCDPT2SN2!$N$47</definedName>
    <definedName name="SCDPT2SN2_591BEGINNG_13" localSheetId="4">GMIC_22A_SCDPT2SN2!$O$47</definedName>
    <definedName name="SCDPT2SN2_591BEGINNG_14" localSheetId="4">GMIC_22A_SCDPT2SN2!$P$47</definedName>
    <definedName name="SCDPT2SN2_591BEGINNG_15" localSheetId="4">GMIC_22A_SCDPT2SN2!$Q$47</definedName>
    <definedName name="SCDPT2SN2_591BEGINNG_16" localSheetId="4">GMIC_22A_SCDPT2SN2!$R$47</definedName>
    <definedName name="SCDPT2SN2_591BEGINNG_17" localSheetId="4">GMIC_22A_SCDPT2SN2!$S$47</definedName>
    <definedName name="SCDPT2SN2_591BEGINNG_18.01" localSheetId="4">GMIC_22A_SCDPT2SN2!$T$47</definedName>
    <definedName name="SCDPT2SN2_591BEGINNG_18.02" localSheetId="4">GMIC_22A_SCDPT2SN2!$U$47</definedName>
    <definedName name="SCDPT2SN2_591BEGINNG_18.03" localSheetId="4">GMIC_22A_SCDPT2SN2!$V$47</definedName>
    <definedName name="SCDPT2SN2_591BEGINNG_19" localSheetId="4">GMIC_22A_SCDPT2SN2!$W$47</definedName>
    <definedName name="SCDPT2SN2_591BEGINNG_2" localSheetId="4">GMIC_22A_SCDPT2SN2!$D$47</definedName>
    <definedName name="SCDPT2SN2_591BEGINNG_20" localSheetId="4">GMIC_22A_SCDPT2SN2!$X$47</definedName>
    <definedName name="SCDPT2SN2_591BEGINNG_21" localSheetId="4">GMIC_22A_SCDPT2SN2!$Y$47</definedName>
    <definedName name="SCDPT2SN2_591BEGINNG_22" localSheetId="4">GMIC_22A_SCDPT2SN2!$Z$47</definedName>
    <definedName name="SCDPT2SN2_591BEGINNG_23" localSheetId="4">GMIC_22A_SCDPT2SN2!$AA$47</definedName>
    <definedName name="SCDPT2SN2_591BEGINNG_24" localSheetId="4">GMIC_22A_SCDPT2SN2!$AB$47</definedName>
    <definedName name="SCDPT2SN2_591BEGINNG_25" localSheetId="4">GMIC_22A_SCDPT2SN2!$AC$47</definedName>
    <definedName name="SCDPT2SN2_591BEGINNG_26" localSheetId="4">GMIC_22A_SCDPT2SN2!$AD$47</definedName>
    <definedName name="SCDPT2SN2_591BEGINNG_3" localSheetId="4">GMIC_22A_SCDPT2SN2!$E$47</definedName>
    <definedName name="SCDPT2SN2_591BEGINNG_4" localSheetId="4">GMIC_22A_SCDPT2SN2!$F$47</definedName>
    <definedName name="SCDPT2SN2_591BEGINNG_5" localSheetId="4">GMIC_22A_SCDPT2SN2!$G$47</definedName>
    <definedName name="SCDPT2SN2_591BEGINNG_6" localSheetId="4">GMIC_22A_SCDPT2SN2!$H$47</definedName>
    <definedName name="SCDPT2SN2_591BEGINNG_7" localSheetId="4">GMIC_22A_SCDPT2SN2!$I$47</definedName>
    <definedName name="SCDPT2SN2_591BEGINNG_8" localSheetId="4">GMIC_22A_SCDPT2SN2!$J$47</definedName>
    <definedName name="SCDPT2SN2_591BEGINNG_9" localSheetId="4">GMIC_22A_SCDPT2SN2!$K$47</definedName>
    <definedName name="SCDPT2SN2_591ENDINGG_10" localSheetId="4">GMIC_22A_SCDPT2SN2!$L$49</definedName>
    <definedName name="SCDPT2SN2_591ENDINGG_11" localSheetId="4">GMIC_22A_SCDPT2SN2!$M$49</definedName>
    <definedName name="SCDPT2SN2_591ENDINGG_12" localSheetId="4">GMIC_22A_SCDPT2SN2!$N$49</definedName>
    <definedName name="SCDPT2SN2_591ENDINGG_13" localSheetId="4">GMIC_22A_SCDPT2SN2!$O$49</definedName>
    <definedName name="SCDPT2SN2_591ENDINGG_14" localSheetId="4">GMIC_22A_SCDPT2SN2!$P$49</definedName>
    <definedName name="SCDPT2SN2_591ENDINGG_15" localSheetId="4">GMIC_22A_SCDPT2SN2!$Q$49</definedName>
    <definedName name="SCDPT2SN2_591ENDINGG_16" localSheetId="4">GMIC_22A_SCDPT2SN2!$R$49</definedName>
    <definedName name="SCDPT2SN2_591ENDINGG_17" localSheetId="4">GMIC_22A_SCDPT2SN2!$S$49</definedName>
    <definedName name="SCDPT2SN2_591ENDINGG_18.01" localSheetId="4">GMIC_22A_SCDPT2SN2!$T$49</definedName>
    <definedName name="SCDPT2SN2_591ENDINGG_18.02" localSheetId="4">GMIC_22A_SCDPT2SN2!$U$49</definedName>
    <definedName name="SCDPT2SN2_591ENDINGG_18.03" localSheetId="4">GMIC_22A_SCDPT2SN2!$V$49</definedName>
    <definedName name="SCDPT2SN2_591ENDINGG_19" localSheetId="4">GMIC_22A_SCDPT2SN2!$W$49</definedName>
    <definedName name="SCDPT2SN2_591ENDINGG_2" localSheetId="4">GMIC_22A_SCDPT2SN2!$D$49</definedName>
    <definedName name="SCDPT2SN2_591ENDINGG_20" localSheetId="4">GMIC_22A_SCDPT2SN2!$X$49</definedName>
    <definedName name="SCDPT2SN2_591ENDINGG_21" localSheetId="4">GMIC_22A_SCDPT2SN2!$Y$49</definedName>
    <definedName name="SCDPT2SN2_591ENDINGG_22" localSheetId="4">GMIC_22A_SCDPT2SN2!$Z$49</definedName>
    <definedName name="SCDPT2SN2_591ENDINGG_23" localSheetId="4">GMIC_22A_SCDPT2SN2!$AA$49</definedName>
    <definedName name="SCDPT2SN2_591ENDINGG_24" localSheetId="4">GMIC_22A_SCDPT2SN2!$AB$49</definedName>
    <definedName name="SCDPT2SN2_591ENDINGG_25" localSheetId="4">GMIC_22A_SCDPT2SN2!$AC$49</definedName>
    <definedName name="SCDPT2SN2_591ENDINGG_26" localSheetId="4">GMIC_22A_SCDPT2SN2!$AD$49</definedName>
    <definedName name="SCDPT2SN2_591ENDINGG_3" localSheetId="4">GMIC_22A_SCDPT2SN2!$E$49</definedName>
    <definedName name="SCDPT2SN2_591ENDINGG_4" localSheetId="4">GMIC_22A_SCDPT2SN2!$F$49</definedName>
    <definedName name="SCDPT2SN2_591ENDINGG_5" localSheetId="4">GMIC_22A_SCDPT2SN2!$G$49</definedName>
    <definedName name="SCDPT2SN2_591ENDINGG_6" localSheetId="4">GMIC_22A_SCDPT2SN2!$H$49</definedName>
    <definedName name="SCDPT2SN2_591ENDINGG_7" localSheetId="4">GMIC_22A_SCDPT2SN2!$I$49</definedName>
    <definedName name="SCDPT2SN2_591ENDINGG_8" localSheetId="4">GMIC_22A_SCDPT2SN2!$J$49</definedName>
    <definedName name="SCDPT2SN2_591ENDINGG_9" localSheetId="4">GMIC_22A_SCDPT2SN2!$K$49</definedName>
    <definedName name="SCDPT2SN2_5920000000_Range" localSheetId="4">GMIC_22A_SCDPT2SN2!$B$51:$AD$53</definedName>
    <definedName name="SCDPT2SN2_5920000001_1" localSheetId="4">GMIC_22A_SCDPT2SN2!$C$52</definedName>
    <definedName name="SCDPT2SN2_5920000001_10" localSheetId="4">GMIC_22A_SCDPT2SN2!$L$52</definedName>
    <definedName name="SCDPT2SN2_5920000001_11" localSheetId="4">GMIC_22A_SCDPT2SN2!$M$52</definedName>
    <definedName name="SCDPT2SN2_5920000001_12" localSheetId="4">GMIC_22A_SCDPT2SN2!$N$52</definedName>
    <definedName name="SCDPT2SN2_5920000001_13" localSheetId="4">GMIC_22A_SCDPT2SN2!$O$52</definedName>
    <definedName name="SCDPT2SN2_5920000001_14" localSheetId="4">GMIC_22A_SCDPT2SN2!$P$52</definedName>
    <definedName name="SCDPT2SN2_5920000001_15" localSheetId="4">GMIC_22A_SCDPT2SN2!$Q$52</definedName>
    <definedName name="SCDPT2SN2_5920000001_16" localSheetId="4">GMIC_22A_SCDPT2SN2!$R$52</definedName>
    <definedName name="SCDPT2SN2_5920000001_17" localSheetId="4">GMIC_22A_SCDPT2SN2!$S$52</definedName>
    <definedName name="SCDPT2SN2_5920000001_19" localSheetId="4">GMIC_22A_SCDPT2SN2!$W$52</definedName>
    <definedName name="SCDPT2SN2_5920000001_2" localSheetId="4">GMIC_22A_SCDPT2SN2!$D$52</definedName>
    <definedName name="SCDPT2SN2_5920000001_20" localSheetId="4">GMIC_22A_SCDPT2SN2!$X$52</definedName>
    <definedName name="SCDPT2SN2_5920000001_21" localSheetId="4">GMIC_22A_SCDPT2SN2!$Y$52</definedName>
    <definedName name="SCDPT2SN2_5920000001_22" localSheetId="4">GMIC_22A_SCDPT2SN2!$Z$52</definedName>
    <definedName name="SCDPT2SN2_5920000001_23" localSheetId="4">GMIC_22A_SCDPT2SN2!$AA$52</definedName>
    <definedName name="SCDPT2SN2_5920000001_24" localSheetId="4">GMIC_22A_SCDPT2SN2!$AB$52</definedName>
    <definedName name="SCDPT2SN2_5920000001_25" localSheetId="4">GMIC_22A_SCDPT2SN2!$AC$52</definedName>
    <definedName name="SCDPT2SN2_5920000001_3" localSheetId="4">GMIC_22A_SCDPT2SN2!$E$52</definedName>
    <definedName name="SCDPT2SN2_5920000001_4" localSheetId="4">GMIC_22A_SCDPT2SN2!$F$52</definedName>
    <definedName name="SCDPT2SN2_5920000001_5" localSheetId="4">GMIC_22A_SCDPT2SN2!$G$52</definedName>
    <definedName name="SCDPT2SN2_5920000001_6" localSheetId="4">GMIC_22A_SCDPT2SN2!$H$52</definedName>
    <definedName name="SCDPT2SN2_5920000001_7" localSheetId="4">GMIC_22A_SCDPT2SN2!$I$52</definedName>
    <definedName name="SCDPT2SN2_5920000001_8" localSheetId="4">GMIC_22A_SCDPT2SN2!$J$52</definedName>
    <definedName name="SCDPT2SN2_5920000001_9" localSheetId="4">GMIC_22A_SCDPT2SN2!$K$52</definedName>
    <definedName name="SCDPT2SN2_5929999999_10" localSheetId="4">GMIC_22A_SCDPT2SN2!$L$54</definedName>
    <definedName name="SCDPT2SN2_5929999999_11" localSheetId="4">GMIC_22A_SCDPT2SN2!$M$54</definedName>
    <definedName name="SCDPT2SN2_5929999999_12" localSheetId="4">GMIC_22A_SCDPT2SN2!$N$54</definedName>
    <definedName name="SCDPT2SN2_5929999999_13" localSheetId="4">GMIC_22A_SCDPT2SN2!$O$54</definedName>
    <definedName name="SCDPT2SN2_5929999999_14" localSheetId="4">GMIC_22A_SCDPT2SN2!$P$54</definedName>
    <definedName name="SCDPT2SN2_5929999999_15" localSheetId="4">GMIC_22A_SCDPT2SN2!$Q$54</definedName>
    <definedName name="SCDPT2SN2_5929999999_16" localSheetId="4">GMIC_22A_SCDPT2SN2!$R$54</definedName>
    <definedName name="SCDPT2SN2_5929999999_6" localSheetId="4">GMIC_22A_SCDPT2SN2!$H$54</definedName>
    <definedName name="SCDPT2SN2_5929999999_8" localSheetId="4">GMIC_22A_SCDPT2SN2!$J$54</definedName>
    <definedName name="SCDPT2SN2_5929999999_9" localSheetId="4">GMIC_22A_SCDPT2SN2!$K$54</definedName>
    <definedName name="SCDPT2SN2_592BEGINNG_1" localSheetId="4">GMIC_22A_SCDPT2SN2!$C$51</definedName>
    <definedName name="SCDPT2SN2_592BEGINNG_10" localSheetId="4">GMIC_22A_SCDPT2SN2!$L$51</definedName>
    <definedName name="SCDPT2SN2_592BEGINNG_11" localSheetId="4">GMIC_22A_SCDPT2SN2!$M$51</definedName>
    <definedName name="SCDPT2SN2_592BEGINNG_12" localSheetId="4">GMIC_22A_SCDPT2SN2!$N$51</definedName>
    <definedName name="SCDPT2SN2_592BEGINNG_13" localSheetId="4">GMIC_22A_SCDPT2SN2!$O$51</definedName>
    <definedName name="SCDPT2SN2_592BEGINNG_14" localSheetId="4">GMIC_22A_SCDPT2SN2!$P$51</definedName>
    <definedName name="SCDPT2SN2_592BEGINNG_15" localSheetId="4">GMIC_22A_SCDPT2SN2!$Q$51</definedName>
    <definedName name="SCDPT2SN2_592BEGINNG_16" localSheetId="4">GMIC_22A_SCDPT2SN2!$R$51</definedName>
    <definedName name="SCDPT2SN2_592BEGINNG_17" localSheetId="4">GMIC_22A_SCDPT2SN2!$S$51</definedName>
    <definedName name="SCDPT2SN2_592BEGINNG_18.01" localSheetId="4">GMIC_22A_SCDPT2SN2!$T$51</definedName>
    <definedName name="SCDPT2SN2_592BEGINNG_18.02" localSheetId="4">GMIC_22A_SCDPT2SN2!$U$51</definedName>
    <definedName name="SCDPT2SN2_592BEGINNG_18.03" localSheetId="4">GMIC_22A_SCDPT2SN2!$V$51</definedName>
    <definedName name="SCDPT2SN2_592BEGINNG_19" localSheetId="4">GMIC_22A_SCDPT2SN2!$W$51</definedName>
    <definedName name="SCDPT2SN2_592BEGINNG_2" localSheetId="4">GMIC_22A_SCDPT2SN2!$D$51</definedName>
    <definedName name="SCDPT2SN2_592BEGINNG_20" localSheetId="4">GMIC_22A_SCDPT2SN2!$X$51</definedName>
    <definedName name="SCDPT2SN2_592BEGINNG_21" localSheetId="4">GMIC_22A_SCDPT2SN2!$Y$51</definedName>
    <definedName name="SCDPT2SN2_592BEGINNG_22" localSheetId="4">GMIC_22A_SCDPT2SN2!$Z$51</definedName>
    <definedName name="SCDPT2SN2_592BEGINNG_23" localSheetId="4">GMIC_22A_SCDPT2SN2!$AA$51</definedName>
    <definedName name="SCDPT2SN2_592BEGINNG_24" localSheetId="4">GMIC_22A_SCDPT2SN2!$AB$51</definedName>
    <definedName name="SCDPT2SN2_592BEGINNG_25" localSheetId="4">GMIC_22A_SCDPT2SN2!$AC$51</definedName>
    <definedName name="SCDPT2SN2_592BEGINNG_26" localSheetId="4">GMIC_22A_SCDPT2SN2!$AD$51</definedName>
    <definedName name="SCDPT2SN2_592BEGINNG_3" localSheetId="4">GMIC_22A_SCDPT2SN2!$E$51</definedName>
    <definedName name="SCDPT2SN2_592BEGINNG_4" localSheetId="4">GMIC_22A_SCDPT2SN2!$F$51</definedName>
    <definedName name="SCDPT2SN2_592BEGINNG_5" localSheetId="4">GMIC_22A_SCDPT2SN2!$G$51</definedName>
    <definedName name="SCDPT2SN2_592BEGINNG_6" localSheetId="4">GMIC_22A_SCDPT2SN2!$H$51</definedName>
    <definedName name="SCDPT2SN2_592BEGINNG_7" localSheetId="4">GMIC_22A_SCDPT2SN2!$I$51</definedName>
    <definedName name="SCDPT2SN2_592BEGINNG_8" localSheetId="4">GMIC_22A_SCDPT2SN2!$J$51</definedName>
    <definedName name="SCDPT2SN2_592BEGINNG_9" localSheetId="4">GMIC_22A_SCDPT2SN2!$K$51</definedName>
    <definedName name="SCDPT2SN2_592ENDINGG_10" localSheetId="4">GMIC_22A_SCDPT2SN2!$L$53</definedName>
    <definedName name="SCDPT2SN2_592ENDINGG_11" localSheetId="4">GMIC_22A_SCDPT2SN2!$M$53</definedName>
    <definedName name="SCDPT2SN2_592ENDINGG_12" localSheetId="4">GMIC_22A_SCDPT2SN2!$N$53</definedName>
    <definedName name="SCDPT2SN2_592ENDINGG_13" localSheetId="4">GMIC_22A_SCDPT2SN2!$O$53</definedName>
    <definedName name="SCDPT2SN2_592ENDINGG_14" localSheetId="4">GMIC_22A_SCDPT2SN2!$P$53</definedName>
    <definedName name="SCDPT2SN2_592ENDINGG_15" localSheetId="4">GMIC_22A_SCDPT2SN2!$Q$53</definedName>
    <definedName name="SCDPT2SN2_592ENDINGG_16" localSheetId="4">GMIC_22A_SCDPT2SN2!$R$53</definedName>
    <definedName name="SCDPT2SN2_592ENDINGG_17" localSheetId="4">GMIC_22A_SCDPT2SN2!$S$53</definedName>
    <definedName name="SCDPT2SN2_592ENDINGG_18.01" localSheetId="4">GMIC_22A_SCDPT2SN2!$T$53</definedName>
    <definedName name="SCDPT2SN2_592ENDINGG_18.02" localSheetId="4">GMIC_22A_SCDPT2SN2!$U$53</definedName>
    <definedName name="SCDPT2SN2_592ENDINGG_18.03" localSheetId="4">GMIC_22A_SCDPT2SN2!$V$53</definedName>
    <definedName name="SCDPT2SN2_592ENDINGG_19" localSheetId="4">GMIC_22A_SCDPT2SN2!$W$53</definedName>
    <definedName name="SCDPT2SN2_592ENDINGG_2" localSheetId="4">GMIC_22A_SCDPT2SN2!$D$53</definedName>
    <definedName name="SCDPT2SN2_592ENDINGG_20" localSheetId="4">GMIC_22A_SCDPT2SN2!$X$53</definedName>
    <definedName name="SCDPT2SN2_592ENDINGG_21" localSheetId="4">GMIC_22A_SCDPT2SN2!$Y$53</definedName>
    <definedName name="SCDPT2SN2_592ENDINGG_22" localSheetId="4">GMIC_22A_SCDPT2SN2!$Z$53</definedName>
    <definedName name="SCDPT2SN2_592ENDINGG_23" localSheetId="4">GMIC_22A_SCDPT2SN2!$AA$53</definedName>
    <definedName name="SCDPT2SN2_592ENDINGG_24" localSheetId="4">GMIC_22A_SCDPT2SN2!$AB$53</definedName>
    <definedName name="SCDPT2SN2_592ENDINGG_25" localSheetId="4">GMIC_22A_SCDPT2SN2!$AC$53</definedName>
    <definedName name="SCDPT2SN2_592ENDINGG_26" localSheetId="4">GMIC_22A_SCDPT2SN2!$AD$53</definedName>
    <definedName name="SCDPT2SN2_592ENDINGG_3" localSheetId="4">GMIC_22A_SCDPT2SN2!$E$53</definedName>
    <definedName name="SCDPT2SN2_592ENDINGG_4" localSheetId="4">GMIC_22A_SCDPT2SN2!$F$53</definedName>
    <definedName name="SCDPT2SN2_592ENDINGG_5" localSheetId="4">GMIC_22A_SCDPT2SN2!$G$53</definedName>
    <definedName name="SCDPT2SN2_592ENDINGG_6" localSheetId="4">GMIC_22A_SCDPT2SN2!$H$53</definedName>
    <definedName name="SCDPT2SN2_592ENDINGG_7" localSheetId="4">GMIC_22A_SCDPT2SN2!$I$53</definedName>
    <definedName name="SCDPT2SN2_592ENDINGG_8" localSheetId="4">GMIC_22A_SCDPT2SN2!$J$53</definedName>
    <definedName name="SCDPT2SN2_592ENDINGG_9" localSheetId="4">GMIC_22A_SCDPT2SN2!$K$53</definedName>
    <definedName name="SCDPT2SN2_5979999999_10" localSheetId="4">GMIC_22A_SCDPT2SN2!$L$55</definedName>
    <definedName name="SCDPT2SN2_5979999999_11" localSheetId="4">GMIC_22A_SCDPT2SN2!$M$55</definedName>
    <definedName name="SCDPT2SN2_5979999999_12" localSheetId="4">GMIC_22A_SCDPT2SN2!$N$55</definedName>
    <definedName name="SCDPT2SN2_5979999999_13" localSheetId="4">GMIC_22A_SCDPT2SN2!$O$55</definedName>
    <definedName name="SCDPT2SN2_5979999999_14" localSheetId="4">GMIC_22A_SCDPT2SN2!$P$55</definedName>
    <definedName name="SCDPT2SN2_5979999999_15" localSheetId="4">GMIC_22A_SCDPT2SN2!$Q$55</definedName>
    <definedName name="SCDPT2SN2_5979999999_16" localSheetId="4">GMIC_22A_SCDPT2SN2!$R$55</definedName>
    <definedName name="SCDPT2SN2_5979999999_6" localSheetId="4">GMIC_22A_SCDPT2SN2!$H$55</definedName>
    <definedName name="SCDPT2SN2_5979999999_8" localSheetId="4">GMIC_22A_SCDPT2SN2!$J$55</definedName>
    <definedName name="SCDPT2SN2_5979999999_9" localSheetId="4">GMIC_22A_SCDPT2SN2!$K$55</definedName>
    <definedName name="SCDPT2SN2_5989999999_10" localSheetId="4">GMIC_22A_SCDPT2SN2!$L$56</definedName>
    <definedName name="SCDPT2SN2_5989999999_11" localSheetId="4">GMIC_22A_SCDPT2SN2!$M$56</definedName>
    <definedName name="SCDPT2SN2_5989999999_12" localSheetId="4">GMIC_22A_SCDPT2SN2!$N$56</definedName>
    <definedName name="SCDPT2SN2_5989999999_13" localSheetId="4">GMIC_22A_SCDPT2SN2!$O$56</definedName>
    <definedName name="SCDPT2SN2_5989999999_14" localSheetId="4">GMIC_22A_SCDPT2SN2!$P$56</definedName>
    <definedName name="SCDPT2SN2_5989999999_15" localSheetId="4">GMIC_22A_SCDPT2SN2!$Q$56</definedName>
    <definedName name="SCDPT2SN2_5989999999_16" localSheetId="4">GMIC_22A_SCDPT2SN2!$R$56</definedName>
    <definedName name="SCDPT2SN2_5989999999_6" localSheetId="4">GMIC_22A_SCDPT2SN2!$H$56</definedName>
    <definedName name="SCDPT2SN2_5989999999_8" localSheetId="4">GMIC_22A_SCDPT2SN2!$J$56</definedName>
    <definedName name="SCDPT2SN2_5989999999_9" localSheetId="4">GMIC_22A_SCDPT2SN2!$K$56</definedName>
    <definedName name="SCDPT2SN2_5999999999_10" localSheetId="4">GMIC_22A_SCDPT2SN2!$L$57</definedName>
    <definedName name="SCDPT2SN2_5999999999_11" localSheetId="4">GMIC_22A_SCDPT2SN2!$M$57</definedName>
    <definedName name="SCDPT2SN2_5999999999_12" localSheetId="4">GMIC_22A_SCDPT2SN2!$N$57</definedName>
    <definedName name="SCDPT2SN2_5999999999_13" localSheetId="4">GMIC_22A_SCDPT2SN2!$O$57</definedName>
    <definedName name="SCDPT2SN2_5999999999_14" localSheetId="4">GMIC_22A_SCDPT2SN2!$P$57</definedName>
    <definedName name="SCDPT2SN2_5999999999_15" localSheetId="4">GMIC_22A_SCDPT2SN2!$Q$57</definedName>
    <definedName name="SCDPT2SN2_5999999999_16" localSheetId="4">GMIC_22A_SCDPT2SN2!$R$57</definedName>
    <definedName name="SCDPT2SN2_5999999999_6" localSheetId="4">GMIC_22A_SCDPT2SN2!$H$57</definedName>
    <definedName name="SCDPT2SN2_5999999999_8" localSheetId="4">GMIC_22A_SCDPT2SN2!$J$57</definedName>
    <definedName name="SCDPT2SN2_5999999999_9" localSheetId="4">GMIC_22A_SCDPT2SN2!$K$57</definedName>
    <definedName name="SCDPT2SN2F_000001A_1" localSheetId="5">GMIC_22A_SCDPT2SN2F!$D$7</definedName>
    <definedName name="SCDPT2SN2F_000001A_2" localSheetId="5">GMIC_22A_SCDPT2SN2F!$E$7</definedName>
    <definedName name="SCDPT2SN2F_000001A_3" localSheetId="5">GMIC_22A_SCDPT2SN2F!$F$7</definedName>
    <definedName name="SCDPT2SN2F_000001A_4" localSheetId="5">GMIC_22A_SCDPT2SN2F!$G$7</definedName>
    <definedName name="SCDPT2SN2F_000001A_5" localSheetId="5">GMIC_22A_SCDPT2SN2F!$H$7</definedName>
    <definedName name="SCDPT2SN2F_000001A_6" localSheetId="5">GMIC_22A_SCDPT2SN2F!$I$7</definedName>
    <definedName name="SCDPT2SN2F_000001A_7" localSheetId="5">GMIC_22A_SCDPT2SN2F!$J$7</definedName>
    <definedName name="SCDPT2SN2F_000001B_1" localSheetId="5">GMIC_22A_SCDPT2SN2F!$D$8</definedName>
    <definedName name="SCDPT2SN2F_000001B_2" localSheetId="5">GMIC_22A_SCDPT2SN2F!$E$8</definedName>
    <definedName name="SCDPT2SN2F_000001B_3" localSheetId="5">GMIC_22A_SCDPT2SN2F!$F$8</definedName>
    <definedName name="SCDPT2SN2F_000001C_1" localSheetId="5">GMIC_22A_SCDPT2SN2F!$D$9</definedName>
    <definedName name="SCDPT2SN2F_000001C_2" localSheetId="5">GMIC_22A_SCDPT2SN2F!$E$9</definedName>
    <definedName name="SCDPT2SN2F_000001C_3" localSheetId="5">GMIC_22A_SCDPT2SN2F!$F$9</definedName>
    <definedName name="SCDPT2SN2F_000001D_1" localSheetId="5">GMIC_22A_SCDPT2SN2F!$D$10</definedName>
    <definedName name="SCDPT2SN2F_000001D_2" localSheetId="5">GMIC_22A_SCDPT2SN2F!$E$10</definedName>
    <definedName name="SCDPT2SN2F_000001D_3" localSheetId="5">GMIC_22A_SCDPT2SN2F!$F$10</definedName>
    <definedName name="SCDPT2SN2F_000001E_1" localSheetId="5">GMIC_22A_SCDPT2SN2F!$D$11</definedName>
    <definedName name="SCDPT2SN2F_000001E_2" localSheetId="5">GMIC_22A_SCDPT2SN2F!$E$11</definedName>
    <definedName name="SCDPT2SN2F_000001E_3" localSheetId="5">GMIC_22A_SCDPT2SN2F!$F$11</definedName>
    <definedName name="SCDPT2SN2F_000001F_1" localSheetId="5">GMIC_22A_SCDPT2SN2F!$D$12</definedName>
    <definedName name="SCDPT3_0100000000_Range" localSheetId="6">GMIC_22A_SCDPT3!$B$7:$Q$9</definedName>
    <definedName name="SCDPT3_0109999999_7" localSheetId="6">GMIC_22A_SCDPT3!$I$10</definedName>
    <definedName name="SCDPT3_0109999999_8" localSheetId="6">GMIC_22A_SCDPT3!$J$10</definedName>
    <definedName name="SCDPT3_0109999999_9" localSheetId="6">GMIC_22A_SCDPT3!$K$10</definedName>
    <definedName name="SCDPT3_010BEGINNG_1" localSheetId="6">GMIC_22A_SCDPT3!$C$7</definedName>
    <definedName name="SCDPT3_010BEGINNG_10" localSheetId="6">GMIC_22A_SCDPT3!$L$7</definedName>
    <definedName name="SCDPT3_010BEGINNG_11" localSheetId="6">GMIC_22A_SCDPT3!$M$7</definedName>
    <definedName name="SCDPT3_010BEGINNG_12" localSheetId="6">GMIC_22A_SCDPT3!$N$7</definedName>
    <definedName name="SCDPT3_010BEGINNG_13" localSheetId="6">GMIC_22A_SCDPT3!$O$7</definedName>
    <definedName name="SCDPT3_010BEGINNG_14" localSheetId="6">GMIC_22A_SCDPT3!$P$7</definedName>
    <definedName name="SCDPT3_010BEGINNG_15" localSheetId="6">GMIC_22A_SCDPT3!$Q$7</definedName>
    <definedName name="SCDPT3_010BEGINNG_2" localSheetId="6">GMIC_22A_SCDPT3!$D$7</definedName>
    <definedName name="SCDPT3_010BEGINNG_3" localSheetId="6">GMIC_22A_SCDPT3!$E$7</definedName>
    <definedName name="SCDPT3_010BEGINNG_4" localSheetId="6">GMIC_22A_SCDPT3!$F$7</definedName>
    <definedName name="SCDPT3_010BEGINNG_5" localSheetId="6">GMIC_22A_SCDPT3!$G$7</definedName>
    <definedName name="SCDPT3_010BEGINNG_6" localSheetId="6">GMIC_22A_SCDPT3!$H$7</definedName>
    <definedName name="SCDPT3_010BEGINNG_7" localSheetId="6">GMIC_22A_SCDPT3!$I$7</definedName>
    <definedName name="SCDPT3_010BEGINNG_8" localSheetId="6">GMIC_22A_SCDPT3!$J$7</definedName>
    <definedName name="SCDPT3_010BEGINNG_9" localSheetId="6">GMIC_22A_SCDPT3!$K$7</definedName>
    <definedName name="SCDPT3_010ENDINGG_10" localSheetId="6">GMIC_22A_SCDPT3!$L$9</definedName>
    <definedName name="SCDPT3_010ENDINGG_11" localSheetId="6">GMIC_22A_SCDPT3!$M$9</definedName>
    <definedName name="SCDPT3_010ENDINGG_12" localSheetId="6">GMIC_22A_SCDPT3!$N$9</definedName>
    <definedName name="SCDPT3_010ENDINGG_13" localSheetId="6">GMIC_22A_SCDPT3!$O$9</definedName>
    <definedName name="SCDPT3_010ENDINGG_14" localSheetId="6">GMIC_22A_SCDPT3!$P$9</definedName>
    <definedName name="SCDPT3_010ENDINGG_15" localSheetId="6">GMIC_22A_SCDPT3!$Q$9</definedName>
    <definedName name="SCDPT3_010ENDINGG_2" localSheetId="6">GMIC_22A_SCDPT3!$D$9</definedName>
    <definedName name="SCDPT3_010ENDINGG_3" localSheetId="6">GMIC_22A_SCDPT3!$E$9</definedName>
    <definedName name="SCDPT3_010ENDINGG_4" localSheetId="6">GMIC_22A_SCDPT3!$F$9</definedName>
    <definedName name="SCDPT3_010ENDINGG_5" localSheetId="6">GMIC_22A_SCDPT3!$G$9</definedName>
    <definedName name="SCDPT3_010ENDINGG_6" localSheetId="6">GMIC_22A_SCDPT3!$H$9</definedName>
    <definedName name="SCDPT3_010ENDINGG_7" localSheetId="6">GMIC_22A_SCDPT3!$I$9</definedName>
    <definedName name="SCDPT3_010ENDINGG_8" localSheetId="6">GMIC_22A_SCDPT3!$J$9</definedName>
    <definedName name="SCDPT3_010ENDINGG_9" localSheetId="6">GMIC_22A_SCDPT3!$K$9</definedName>
    <definedName name="SCDPT3_0300000000_Range" localSheetId="6">GMIC_22A_SCDPT3!$B$11:$Q$13</definedName>
    <definedName name="SCDPT3_0309999999_7" localSheetId="6">GMIC_22A_SCDPT3!$I$14</definedName>
    <definedName name="SCDPT3_0309999999_8" localSheetId="6">GMIC_22A_SCDPT3!$J$14</definedName>
    <definedName name="SCDPT3_0309999999_9" localSheetId="6">GMIC_22A_SCDPT3!$K$14</definedName>
    <definedName name="SCDPT3_030BEGINNG_1" localSheetId="6">GMIC_22A_SCDPT3!$C$11</definedName>
    <definedName name="SCDPT3_030BEGINNG_10" localSheetId="6">GMIC_22A_SCDPT3!$L$11</definedName>
    <definedName name="SCDPT3_030BEGINNG_11" localSheetId="6">GMIC_22A_SCDPT3!$M$11</definedName>
    <definedName name="SCDPT3_030BEGINNG_12" localSheetId="6">GMIC_22A_SCDPT3!$N$11</definedName>
    <definedName name="SCDPT3_030BEGINNG_13" localSheetId="6">GMIC_22A_SCDPT3!$O$11</definedName>
    <definedName name="SCDPT3_030BEGINNG_14" localSheetId="6">GMIC_22A_SCDPT3!$P$11</definedName>
    <definedName name="SCDPT3_030BEGINNG_15" localSheetId="6">GMIC_22A_SCDPT3!$Q$11</definedName>
    <definedName name="SCDPT3_030BEGINNG_2" localSheetId="6">GMIC_22A_SCDPT3!$D$11</definedName>
    <definedName name="SCDPT3_030BEGINNG_3" localSheetId="6">GMIC_22A_SCDPT3!$E$11</definedName>
    <definedName name="SCDPT3_030BEGINNG_4" localSheetId="6">GMIC_22A_SCDPT3!$F$11</definedName>
    <definedName name="SCDPT3_030BEGINNG_5" localSheetId="6">GMIC_22A_SCDPT3!$G$11</definedName>
    <definedName name="SCDPT3_030BEGINNG_6" localSheetId="6">GMIC_22A_SCDPT3!$H$11</definedName>
    <definedName name="SCDPT3_030BEGINNG_7" localSheetId="6">GMIC_22A_SCDPT3!$I$11</definedName>
    <definedName name="SCDPT3_030BEGINNG_8" localSheetId="6">GMIC_22A_SCDPT3!$J$11</definedName>
    <definedName name="SCDPT3_030BEGINNG_9" localSheetId="6">GMIC_22A_SCDPT3!$K$11</definedName>
    <definedName name="SCDPT3_030ENDINGG_10" localSheetId="6">GMIC_22A_SCDPT3!$L$13</definedName>
    <definedName name="SCDPT3_030ENDINGG_11" localSheetId="6">GMIC_22A_SCDPT3!$M$13</definedName>
    <definedName name="SCDPT3_030ENDINGG_12" localSheetId="6">GMIC_22A_SCDPT3!$N$13</definedName>
    <definedName name="SCDPT3_030ENDINGG_13" localSheetId="6">GMIC_22A_SCDPT3!$O$13</definedName>
    <definedName name="SCDPT3_030ENDINGG_14" localSheetId="6">GMIC_22A_SCDPT3!$P$13</definedName>
    <definedName name="SCDPT3_030ENDINGG_15" localSheetId="6">GMIC_22A_SCDPT3!$Q$13</definedName>
    <definedName name="SCDPT3_030ENDINGG_2" localSheetId="6">GMIC_22A_SCDPT3!$D$13</definedName>
    <definedName name="SCDPT3_030ENDINGG_3" localSheetId="6">GMIC_22A_SCDPT3!$E$13</definedName>
    <definedName name="SCDPT3_030ENDINGG_4" localSheetId="6">GMIC_22A_SCDPT3!$F$13</definedName>
    <definedName name="SCDPT3_030ENDINGG_5" localSheetId="6">GMIC_22A_SCDPT3!$G$13</definedName>
    <definedName name="SCDPT3_030ENDINGG_6" localSheetId="6">GMIC_22A_SCDPT3!$H$13</definedName>
    <definedName name="SCDPT3_030ENDINGG_7" localSheetId="6">GMIC_22A_SCDPT3!$I$13</definedName>
    <definedName name="SCDPT3_030ENDINGG_8" localSheetId="6">GMIC_22A_SCDPT3!$J$13</definedName>
    <definedName name="SCDPT3_030ENDINGG_9" localSheetId="6">GMIC_22A_SCDPT3!$K$13</definedName>
    <definedName name="SCDPT3_0500000000_Range" localSheetId="6">GMIC_22A_SCDPT3!$B$15:$Q$17</definedName>
    <definedName name="SCDPT3_0509999999_7" localSheetId="6">GMIC_22A_SCDPT3!$I$18</definedName>
    <definedName name="SCDPT3_0509999999_8" localSheetId="6">GMIC_22A_SCDPT3!$J$18</definedName>
    <definedName name="SCDPT3_0509999999_9" localSheetId="6">GMIC_22A_SCDPT3!$K$18</definedName>
    <definedName name="SCDPT3_050BEGINNG_1" localSheetId="6">GMIC_22A_SCDPT3!$C$15</definedName>
    <definedName name="SCDPT3_050BEGINNG_10" localSheetId="6">GMIC_22A_SCDPT3!$L$15</definedName>
    <definedName name="SCDPT3_050BEGINNG_11" localSheetId="6">GMIC_22A_SCDPT3!$M$15</definedName>
    <definedName name="SCDPT3_050BEGINNG_12" localSheetId="6">GMIC_22A_SCDPT3!$N$15</definedName>
    <definedName name="SCDPT3_050BEGINNG_13" localSheetId="6">GMIC_22A_SCDPT3!$O$15</definedName>
    <definedName name="SCDPT3_050BEGINNG_14" localSheetId="6">GMIC_22A_SCDPT3!$P$15</definedName>
    <definedName name="SCDPT3_050BEGINNG_15" localSheetId="6">GMIC_22A_SCDPT3!$Q$15</definedName>
    <definedName name="SCDPT3_050BEGINNG_2" localSheetId="6">GMIC_22A_SCDPT3!$D$15</definedName>
    <definedName name="SCDPT3_050BEGINNG_3" localSheetId="6">GMIC_22A_SCDPT3!$E$15</definedName>
    <definedName name="SCDPT3_050BEGINNG_4" localSheetId="6">GMIC_22A_SCDPT3!$F$15</definedName>
    <definedName name="SCDPT3_050BEGINNG_5" localSheetId="6">GMIC_22A_SCDPT3!$G$15</definedName>
    <definedName name="SCDPT3_050BEGINNG_6" localSheetId="6">GMIC_22A_SCDPT3!$H$15</definedName>
    <definedName name="SCDPT3_050BEGINNG_7" localSheetId="6">GMIC_22A_SCDPT3!$I$15</definedName>
    <definedName name="SCDPT3_050BEGINNG_8" localSheetId="6">GMIC_22A_SCDPT3!$J$15</definedName>
    <definedName name="SCDPT3_050BEGINNG_9" localSheetId="6">GMIC_22A_SCDPT3!$K$15</definedName>
    <definedName name="SCDPT3_050ENDINGG_10" localSheetId="6">GMIC_22A_SCDPT3!$L$17</definedName>
    <definedName name="SCDPT3_050ENDINGG_11" localSheetId="6">GMIC_22A_SCDPT3!$M$17</definedName>
    <definedName name="SCDPT3_050ENDINGG_12" localSheetId="6">GMIC_22A_SCDPT3!$N$17</definedName>
    <definedName name="SCDPT3_050ENDINGG_13" localSheetId="6">GMIC_22A_SCDPT3!$O$17</definedName>
    <definedName name="SCDPT3_050ENDINGG_14" localSheetId="6">GMIC_22A_SCDPT3!$P$17</definedName>
    <definedName name="SCDPT3_050ENDINGG_15" localSheetId="6">GMIC_22A_SCDPT3!$Q$17</definedName>
    <definedName name="SCDPT3_050ENDINGG_2" localSheetId="6">GMIC_22A_SCDPT3!$D$17</definedName>
    <definedName name="SCDPT3_050ENDINGG_3" localSheetId="6">GMIC_22A_SCDPT3!$E$17</definedName>
    <definedName name="SCDPT3_050ENDINGG_4" localSheetId="6">GMIC_22A_SCDPT3!$F$17</definedName>
    <definedName name="SCDPT3_050ENDINGG_5" localSheetId="6">GMIC_22A_SCDPT3!$G$17</definedName>
    <definedName name="SCDPT3_050ENDINGG_6" localSheetId="6">GMIC_22A_SCDPT3!$H$17</definedName>
    <definedName name="SCDPT3_050ENDINGG_7" localSheetId="6">GMIC_22A_SCDPT3!$I$17</definedName>
    <definedName name="SCDPT3_050ENDINGG_8" localSheetId="6">GMIC_22A_SCDPT3!$J$17</definedName>
    <definedName name="SCDPT3_050ENDINGG_9" localSheetId="6">GMIC_22A_SCDPT3!$K$17</definedName>
    <definedName name="SCDPT3_0700000000_Range" localSheetId="6">GMIC_22A_SCDPT3!$B$19:$Q$21</definedName>
    <definedName name="SCDPT3_0709999999_7" localSheetId="6">GMIC_22A_SCDPT3!$I$22</definedName>
    <definedName name="SCDPT3_0709999999_8" localSheetId="6">GMIC_22A_SCDPT3!$J$22</definedName>
    <definedName name="SCDPT3_0709999999_9" localSheetId="6">GMIC_22A_SCDPT3!$K$22</definedName>
    <definedName name="SCDPT3_070BEGINNG_1" localSheetId="6">GMIC_22A_SCDPT3!$C$19</definedName>
    <definedName name="SCDPT3_070BEGINNG_10" localSheetId="6">GMIC_22A_SCDPT3!$L$19</definedName>
    <definedName name="SCDPT3_070BEGINNG_11" localSheetId="6">GMIC_22A_SCDPT3!$M$19</definedName>
    <definedName name="SCDPT3_070BEGINNG_12" localSheetId="6">GMIC_22A_SCDPT3!$N$19</definedName>
    <definedName name="SCDPT3_070BEGINNG_13" localSheetId="6">GMIC_22A_SCDPT3!$O$19</definedName>
    <definedName name="SCDPT3_070BEGINNG_14" localSheetId="6">GMIC_22A_SCDPT3!$P$19</definedName>
    <definedName name="SCDPT3_070BEGINNG_15" localSheetId="6">GMIC_22A_SCDPT3!$Q$19</definedName>
    <definedName name="SCDPT3_070BEGINNG_2" localSheetId="6">GMIC_22A_SCDPT3!$D$19</definedName>
    <definedName name="SCDPT3_070BEGINNG_3" localSheetId="6">GMIC_22A_SCDPT3!$E$19</definedName>
    <definedName name="SCDPT3_070BEGINNG_4" localSheetId="6">GMIC_22A_SCDPT3!$F$19</definedName>
    <definedName name="SCDPT3_070BEGINNG_5" localSheetId="6">GMIC_22A_SCDPT3!$G$19</definedName>
    <definedName name="SCDPT3_070BEGINNG_6" localSheetId="6">GMIC_22A_SCDPT3!$H$19</definedName>
    <definedName name="SCDPT3_070BEGINNG_7" localSheetId="6">GMIC_22A_SCDPT3!$I$19</definedName>
    <definedName name="SCDPT3_070BEGINNG_8" localSheetId="6">GMIC_22A_SCDPT3!$J$19</definedName>
    <definedName name="SCDPT3_070BEGINNG_9" localSheetId="6">GMIC_22A_SCDPT3!$K$19</definedName>
    <definedName name="SCDPT3_070ENDINGG_10" localSheetId="6">GMIC_22A_SCDPT3!$L$21</definedName>
    <definedName name="SCDPT3_070ENDINGG_11" localSheetId="6">GMIC_22A_SCDPT3!$M$21</definedName>
    <definedName name="SCDPT3_070ENDINGG_12" localSheetId="6">GMIC_22A_SCDPT3!$N$21</definedName>
    <definedName name="SCDPT3_070ENDINGG_13" localSheetId="6">GMIC_22A_SCDPT3!$O$21</definedName>
    <definedName name="SCDPT3_070ENDINGG_14" localSheetId="6">GMIC_22A_SCDPT3!$P$21</definedName>
    <definedName name="SCDPT3_070ENDINGG_15" localSheetId="6">GMIC_22A_SCDPT3!$Q$21</definedName>
    <definedName name="SCDPT3_070ENDINGG_2" localSheetId="6">GMIC_22A_SCDPT3!$D$21</definedName>
    <definedName name="SCDPT3_070ENDINGG_3" localSheetId="6">GMIC_22A_SCDPT3!$E$21</definedName>
    <definedName name="SCDPT3_070ENDINGG_4" localSheetId="6">GMIC_22A_SCDPT3!$F$21</definedName>
    <definedName name="SCDPT3_070ENDINGG_5" localSheetId="6">GMIC_22A_SCDPT3!$G$21</definedName>
    <definedName name="SCDPT3_070ENDINGG_6" localSheetId="6">GMIC_22A_SCDPT3!$H$21</definedName>
    <definedName name="SCDPT3_070ENDINGG_7" localSheetId="6">GMIC_22A_SCDPT3!$I$21</definedName>
    <definedName name="SCDPT3_070ENDINGG_8" localSheetId="6">GMIC_22A_SCDPT3!$J$21</definedName>
    <definedName name="SCDPT3_070ENDINGG_9" localSheetId="6">GMIC_22A_SCDPT3!$K$21</definedName>
    <definedName name="SCDPT3_0900000000_Range" localSheetId="6">GMIC_22A_SCDPT3!$B$23:$Q$26</definedName>
    <definedName name="SCDPT3_0900000001_1" localSheetId="6">GMIC_22A_SCDPT3!$C$24</definedName>
    <definedName name="SCDPT3_0900000001_10" localSheetId="6">GMIC_22A_SCDPT3!$L$24</definedName>
    <definedName name="SCDPT3_0900000001_11" localSheetId="6">GMIC_22A_SCDPT3!$M$24</definedName>
    <definedName name="SCDPT3_0900000001_12" localSheetId="6">GMIC_22A_SCDPT3!$N$24</definedName>
    <definedName name="SCDPT3_0900000001_13" localSheetId="6">GMIC_22A_SCDPT3!$O$24</definedName>
    <definedName name="SCDPT3_0900000001_14" localSheetId="6">GMIC_22A_SCDPT3!$P$24</definedName>
    <definedName name="SCDPT3_0900000001_15" localSheetId="6">GMIC_22A_SCDPT3!$Q$24</definedName>
    <definedName name="SCDPT3_0900000001_2" localSheetId="6">GMIC_22A_SCDPT3!$D$24</definedName>
    <definedName name="SCDPT3_0900000001_3" localSheetId="6">GMIC_22A_SCDPT3!$E$24</definedName>
    <definedName name="SCDPT3_0900000001_4" localSheetId="6">GMIC_22A_SCDPT3!$F$24</definedName>
    <definedName name="SCDPT3_0900000001_5" localSheetId="6">GMIC_22A_SCDPT3!$G$24</definedName>
    <definedName name="SCDPT3_0900000001_7" localSheetId="6">GMIC_22A_SCDPT3!$I$24</definedName>
    <definedName name="SCDPT3_0900000001_8" localSheetId="6">GMIC_22A_SCDPT3!$J$24</definedName>
    <definedName name="SCDPT3_0900000001_9" localSheetId="6">GMIC_22A_SCDPT3!$K$24</definedName>
    <definedName name="SCDPT3_0909999999_7" localSheetId="6">GMIC_22A_SCDPT3!$I$27</definedName>
    <definedName name="SCDPT3_0909999999_8" localSheetId="6">GMIC_22A_SCDPT3!$J$27</definedName>
    <definedName name="SCDPT3_0909999999_9" localSheetId="6">GMIC_22A_SCDPT3!$K$27</definedName>
    <definedName name="SCDPT3_090BEGINNG_1" localSheetId="6">GMIC_22A_SCDPT3!$C$23</definedName>
    <definedName name="SCDPT3_090BEGINNG_10" localSheetId="6">GMIC_22A_SCDPT3!$L$23</definedName>
    <definedName name="SCDPT3_090BEGINNG_11" localSheetId="6">GMIC_22A_SCDPT3!$M$23</definedName>
    <definedName name="SCDPT3_090BEGINNG_12" localSheetId="6">GMIC_22A_SCDPT3!$N$23</definedName>
    <definedName name="SCDPT3_090BEGINNG_13" localSheetId="6">GMIC_22A_SCDPT3!$O$23</definedName>
    <definedName name="SCDPT3_090BEGINNG_14" localSheetId="6">GMIC_22A_SCDPT3!$P$23</definedName>
    <definedName name="SCDPT3_090BEGINNG_15" localSheetId="6">GMIC_22A_SCDPT3!$Q$23</definedName>
    <definedName name="SCDPT3_090BEGINNG_2" localSheetId="6">GMIC_22A_SCDPT3!$D$23</definedName>
    <definedName name="SCDPT3_090BEGINNG_3" localSheetId="6">GMIC_22A_SCDPT3!$E$23</definedName>
    <definedName name="SCDPT3_090BEGINNG_4" localSheetId="6">GMIC_22A_SCDPT3!$F$23</definedName>
    <definedName name="SCDPT3_090BEGINNG_5" localSheetId="6">GMIC_22A_SCDPT3!$G$23</definedName>
    <definedName name="SCDPT3_090BEGINNG_6" localSheetId="6">GMIC_22A_SCDPT3!$H$23</definedName>
    <definedName name="SCDPT3_090BEGINNG_7" localSheetId="6">GMIC_22A_SCDPT3!$I$23</definedName>
    <definedName name="SCDPT3_090BEGINNG_8" localSheetId="6">GMIC_22A_SCDPT3!$J$23</definedName>
    <definedName name="SCDPT3_090BEGINNG_9" localSheetId="6">GMIC_22A_SCDPT3!$K$23</definedName>
    <definedName name="SCDPT3_090ENDINGG_10" localSheetId="6">GMIC_22A_SCDPT3!$L$26</definedName>
    <definedName name="SCDPT3_090ENDINGG_11" localSheetId="6">GMIC_22A_SCDPT3!$M$26</definedName>
    <definedName name="SCDPT3_090ENDINGG_12" localSheetId="6">GMIC_22A_SCDPT3!$N$26</definedName>
    <definedName name="SCDPT3_090ENDINGG_13" localSheetId="6">GMIC_22A_SCDPT3!$O$26</definedName>
    <definedName name="SCDPT3_090ENDINGG_14" localSheetId="6">GMIC_22A_SCDPT3!$P$26</definedName>
    <definedName name="SCDPT3_090ENDINGG_15" localSheetId="6">GMIC_22A_SCDPT3!$Q$26</definedName>
    <definedName name="SCDPT3_090ENDINGG_2" localSheetId="6">GMIC_22A_SCDPT3!$D$26</definedName>
    <definedName name="SCDPT3_090ENDINGG_3" localSheetId="6">GMIC_22A_SCDPT3!$E$26</definedName>
    <definedName name="SCDPT3_090ENDINGG_4" localSheetId="6">GMIC_22A_SCDPT3!$F$26</definedName>
    <definedName name="SCDPT3_090ENDINGG_5" localSheetId="6">GMIC_22A_SCDPT3!$G$26</definedName>
    <definedName name="SCDPT3_090ENDINGG_6" localSheetId="6">GMIC_22A_SCDPT3!$H$26</definedName>
    <definedName name="SCDPT3_090ENDINGG_7" localSheetId="6">GMIC_22A_SCDPT3!$I$26</definedName>
    <definedName name="SCDPT3_090ENDINGG_8" localSheetId="6">GMIC_22A_SCDPT3!$J$26</definedName>
    <definedName name="SCDPT3_090ENDINGG_9" localSheetId="6">GMIC_22A_SCDPT3!$K$26</definedName>
    <definedName name="SCDPT3_1100000000_Range" localSheetId="6">GMIC_22A_SCDPT3!$B$28:$Q$207</definedName>
    <definedName name="SCDPT3_1100000001_1" localSheetId="6">GMIC_22A_SCDPT3!$C$29</definedName>
    <definedName name="SCDPT3_1100000001_11" localSheetId="6">GMIC_22A_SCDPT3!$M$29</definedName>
    <definedName name="SCDPT3_1100000001_12" localSheetId="6">GMIC_22A_SCDPT3!$N$29</definedName>
    <definedName name="SCDPT3_1100000001_13" localSheetId="6">GMIC_22A_SCDPT3!$O$29</definedName>
    <definedName name="SCDPT3_1100000001_14" localSheetId="6">GMIC_22A_SCDPT3!$P$29</definedName>
    <definedName name="SCDPT3_1100000001_15" localSheetId="6">GMIC_22A_SCDPT3!$Q$29</definedName>
    <definedName name="SCDPT3_1100000001_2" localSheetId="6">GMIC_22A_SCDPT3!$D$29</definedName>
    <definedName name="SCDPT3_1100000001_3" localSheetId="6">GMIC_22A_SCDPT3!$E$29</definedName>
    <definedName name="SCDPT3_1100000001_4" localSheetId="6">GMIC_22A_SCDPT3!$F$29</definedName>
    <definedName name="SCDPT3_1100000001_5" localSheetId="6">GMIC_22A_SCDPT3!$G$29</definedName>
    <definedName name="SCDPT3_1100000001_7" localSheetId="6">GMIC_22A_SCDPT3!$I$29</definedName>
    <definedName name="SCDPT3_1100000001_8" localSheetId="6">GMIC_22A_SCDPT3!$J$29</definedName>
    <definedName name="SCDPT3_1100000001_9" localSheetId="6">GMIC_22A_SCDPT3!$K$29</definedName>
    <definedName name="SCDPT3_1109999999_7" localSheetId="6">GMIC_22A_SCDPT3!$I$208</definedName>
    <definedName name="SCDPT3_1109999999_8" localSheetId="6">GMIC_22A_SCDPT3!$J$208</definedName>
    <definedName name="SCDPT3_1109999999_9" localSheetId="6">GMIC_22A_SCDPT3!$K$208</definedName>
    <definedName name="SCDPT3_110BEGINNG_1" localSheetId="6">GMIC_22A_SCDPT3!$C$28</definedName>
    <definedName name="SCDPT3_110BEGINNG_10" localSheetId="6">GMIC_22A_SCDPT3!$L$28</definedName>
    <definedName name="SCDPT3_110BEGINNG_11" localSheetId="6">GMIC_22A_SCDPT3!$M$28</definedName>
    <definedName name="SCDPT3_110BEGINNG_12" localSheetId="6">GMIC_22A_SCDPT3!$N$28</definedName>
    <definedName name="SCDPT3_110BEGINNG_13" localSheetId="6">GMIC_22A_SCDPT3!$O$28</definedName>
    <definedName name="SCDPT3_110BEGINNG_14" localSheetId="6">GMIC_22A_SCDPT3!$P$28</definedName>
    <definedName name="SCDPT3_110BEGINNG_15" localSheetId="6">GMIC_22A_SCDPT3!$Q$28</definedName>
    <definedName name="SCDPT3_110BEGINNG_2" localSheetId="6">GMIC_22A_SCDPT3!$D$28</definedName>
    <definedName name="SCDPT3_110BEGINNG_3" localSheetId="6">GMIC_22A_SCDPT3!$E$28</definedName>
    <definedName name="SCDPT3_110BEGINNG_4" localSheetId="6">GMIC_22A_SCDPT3!$F$28</definedName>
    <definedName name="SCDPT3_110BEGINNG_5" localSheetId="6">GMIC_22A_SCDPT3!$G$28</definedName>
    <definedName name="SCDPT3_110BEGINNG_6" localSheetId="6">GMIC_22A_SCDPT3!$H$28</definedName>
    <definedName name="SCDPT3_110BEGINNG_7" localSheetId="6">GMIC_22A_SCDPT3!$I$28</definedName>
    <definedName name="SCDPT3_110BEGINNG_8" localSheetId="6">GMIC_22A_SCDPT3!$J$28</definedName>
    <definedName name="SCDPT3_110BEGINNG_9" localSheetId="6">GMIC_22A_SCDPT3!$K$28</definedName>
    <definedName name="SCDPT3_110ENDINGG_10" localSheetId="6">GMIC_22A_SCDPT3!$L$207</definedName>
    <definedName name="SCDPT3_110ENDINGG_11" localSheetId="6">GMIC_22A_SCDPT3!$M$207</definedName>
    <definedName name="SCDPT3_110ENDINGG_12" localSheetId="6">GMIC_22A_SCDPT3!$N$207</definedName>
    <definedName name="SCDPT3_110ENDINGG_13" localSheetId="6">GMIC_22A_SCDPT3!$O$207</definedName>
    <definedName name="SCDPT3_110ENDINGG_14" localSheetId="6">GMIC_22A_SCDPT3!$P$207</definedName>
    <definedName name="SCDPT3_110ENDINGG_15" localSheetId="6">GMIC_22A_SCDPT3!$Q$207</definedName>
    <definedName name="SCDPT3_110ENDINGG_2" localSheetId="6">GMIC_22A_SCDPT3!$D$207</definedName>
    <definedName name="SCDPT3_110ENDINGG_3" localSheetId="6">GMIC_22A_SCDPT3!$E$207</definedName>
    <definedName name="SCDPT3_110ENDINGG_4" localSheetId="6">GMIC_22A_SCDPT3!$F$207</definedName>
    <definedName name="SCDPT3_110ENDINGG_5" localSheetId="6">GMIC_22A_SCDPT3!$G$207</definedName>
    <definedName name="SCDPT3_110ENDINGG_6" localSheetId="6">GMIC_22A_SCDPT3!$H$207</definedName>
    <definedName name="SCDPT3_110ENDINGG_7" localSheetId="6">GMIC_22A_SCDPT3!$I$207</definedName>
    <definedName name="SCDPT3_110ENDINGG_8" localSheetId="6">GMIC_22A_SCDPT3!$J$207</definedName>
    <definedName name="SCDPT3_110ENDINGG_9" localSheetId="6">GMIC_22A_SCDPT3!$K$207</definedName>
    <definedName name="SCDPT3_1300000000_Range" localSheetId="6">GMIC_22A_SCDPT3!$B$209:$Q$211</definedName>
    <definedName name="SCDPT3_1309999999_7" localSheetId="6">GMIC_22A_SCDPT3!$I$212</definedName>
    <definedName name="SCDPT3_1309999999_8" localSheetId="6">GMIC_22A_SCDPT3!$J$212</definedName>
    <definedName name="SCDPT3_1309999999_9" localSheetId="6">GMIC_22A_SCDPT3!$K$212</definedName>
    <definedName name="SCDPT3_130BEGINNG_1" localSheetId="6">GMIC_22A_SCDPT3!$C$209</definedName>
    <definedName name="SCDPT3_130BEGINNG_10" localSheetId="6">GMIC_22A_SCDPT3!$L$209</definedName>
    <definedName name="SCDPT3_130BEGINNG_11" localSheetId="6">GMIC_22A_SCDPT3!$M$209</definedName>
    <definedName name="SCDPT3_130BEGINNG_12" localSheetId="6">GMIC_22A_SCDPT3!$N$209</definedName>
    <definedName name="SCDPT3_130BEGINNG_13" localSheetId="6">GMIC_22A_SCDPT3!$O$209</definedName>
    <definedName name="SCDPT3_130BEGINNG_14" localSheetId="6">GMIC_22A_SCDPT3!$P$209</definedName>
    <definedName name="SCDPT3_130BEGINNG_15" localSheetId="6">GMIC_22A_SCDPT3!$Q$209</definedName>
    <definedName name="SCDPT3_130BEGINNG_2" localSheetId="6">GMIC_22A_SCDPT3!$D$209</definedName>
    <definedName name="SCDPT3_130BEGINNG_3" localSheetId="6">GMIC_22A_SCDPT3!$E$209</definedName>
    <definedName name="SCDPT3_130BEGINNG_4" localSheetId="6">GMIC_22A_SCDPT3!$F$209</definedName>
    <definedName name="SCDPT3_130BEGINNG_5" localSheetId="6">GMIC_22A_SCDPT3!$G$209</definedName>
    <definedName name="SCDPT3_130BEGINNG_6" localSheetId="6">GMIC_22A_SCDPT3!$H$209</definedName>
    <definedName name="SCDPT3_130BEGINNG_7" localSheetId="6">GMIC_22A_SCDPT3!$I$209</definedName>
    <definedName name="SCDPT3_130BEGINNG_8" localSheetId="6">GMIC_22A_SCDPT3!$J$209</definedName>
    <definedName name="SCDPT3_130BEGINNG_9" localSheetId="6">GMIC_22A_SCDPT3!$K$209</definedName>
    <definedName name="SCDPT3_130ENDINGG_10" localSheetId="6">GMIC_22A_SCDPT3!$L$211</definedName>
    <definedName name="SCDPT3_130ENDINGG_11" localSheetId="6">GMIC_22A_SCDPT3!$M$211</definedName>
    <definedName name="SCDPT3_130ENDINGG_12" localSheetId="6">GMIC_22A_SCDPT3!$N$211</definedName>
    <definedName name="SCDPT3_130ENDINGG_13" localSheetId="6">GMIC_22A_SCDPT3!$O$211</definedName>
    <definedName name="SCDPT3_130ENDINGG_14" localSheetId="6">GMIC_22A_SCDPT3!$P$211</definedName>
    <definedName name="SCDPT3_130ENDINGG_15" localSheetId="6">GMIC_22A_SCDPT3!$Q$211</definedName>
    <definedName name="SCDPT3_130ENDINGG_2" localSheetId="6">GMIC_22A_SCDPT3!$D$211</definedName>
    <definedName name="SCDPT3_130ENDINGG_3" localSheetId="6">GMIC_22A_SCDPT3!$E$211</definedName>
    <definedName name="SCDPT3_130ENDINGG_4" localSheetId="6">GMIC_22A_SCDPT3!$F$211</definedName>
    <definedName name="SCDPT3_130ENDINGG_5" localSheetId="6">GMIC_22A_SCDPT3!$G$211</definedName>
    <definedName name="SCDPT3_130ENDINGG_6" localSheetId="6">GMIC_22A_SCDPT3!$H$211</definedName>
    <definedName name="SCDPT3_130ENDINGG_7" localSheetId="6">GMIC_22A_SCDPT3!$I$211</definedName>
    <definedName name="SCDPT3_130ENDINGG_8" localSheetId="6">GMIC_22A_SCDPT3!$J$211</definedName>
    <definedName name="SCDPT3_130ENDINGG_9" localSheetId="6">GMIC_22A_SCDPT3!$K$211</definedName>
    <definedName name="SCDPT3_1500000000_Range" localSheetId="6">GMIC_22A_SCDPT3!$B$213:$Q$215</definedName>
    <definedName name="SCDPT3_1509999999_7" localSheetId="6">GMIC_22A_SCDPT3!$I$216</definedName>
    <definedName name="SCDPT3_1509999999_8" localSheetId="6">GMIC_22A_SCDPT3!$J$216</definedName>
    <definedName name="SCDPT3_1509999999_9" localSheetId="6">GMIC_22A_SCDPT3!$K$216</definedName>
    <definedName name="SCDPT3_150BEGINNG_1" localSheetId="6">GMIC_22A_SCDPT3!$C$213</definedName>
    <definedName name="SCDPT3_150BEGINNG_10" localSheetId="6">GMIC_22A_SCDPT3!$L$213</definedName>
    <definedName name="SCDPT3_150BEGINNG_11" localSheetId="6">GMIC_22A_SCDPT3!$M$213</definedName>
    <definedName name="SCDPT3_150BEGINNG_12" localSheetId="6">GMIC_22A_SCDPT3!$N$213</definedName>
    <definedName name="SCDPT3_150BEGINNG_13" localSheetId="6">GMIC_22A_SCDPT3!$O$213</definedName>
    <definedName name="SCDPT3_150BEGINNG_14" localSheetId="6">GMIC_22A_SCDPT3!$P$213</definedName>
    <definedName name="SCDPT3_150BEGINNG_15" localSheetId="6">GMIC_22A_SCDPT3!$Q$213</definedName>
    <definedName name="SCDPT3_150BEGINNG_2" localSheetId="6">GMIC_22A_SCDPT3!$D$213</definedName>
    <definedName name="SCDPT3_150BEGINNG_3" localSheetId="6">GMIC_22A_SCDPT3!$E$213</definedName>
    <definedName name="SCDPT3_150BEGINNG_4" localSheetId="6">GMIC_22A_SCDPT3!$F$213</definedName>
    <definedName name="SCDPT3_150BEGINNG_5" localSheetId="6">GMIC_22A_SCDPT3!$G$213</definedName>
    <definedName name="SCDPT3_150BEGINNG_6" localSheetId="6">GMIC_22A_SCDPT3!$H$213</definedName>
    <definedName name="SCDPT3_150BEGINNG_7" localSheetId="6">GMIC_22A_SCDPT3!$I$213</definedName>
    <definedName name="SCDPT3_150BEGINNG_8" localSheetId="6">GMIC_22A_SCDPT3!$J$213</definedName>
    <definedName name="SCDPT3_150BEGINNG_9" localSheetId="6">GMIC_22A_SCDPT3!$K$213</definedName>
    <definedName name="SCDPT3_150ENDINGG_10" localSheetId="6">GMIC_22A_SCDPT3!$L$215</definedName>
    <definedName name="SCDPT3_150ENDINGG_11" localSheetId="6">GMIC_22A_SCDPT3!$M$215</definedName>
    <definedName name="SCDPT3_150ENDINGG_12" localSheetId="6">GMIC_22A_SCDPT3!$N$215</definedName>
    <definedName name="SCDPT3_150ENDINGG_13" localSheetId="6">GMIC_22A_SCDPT3!$O$215</definedName>
    <definedName name="SCDPT3_150ENDINGG_14" localSheetId="6">GMIC_22A_SCDPT3!$P$215</definedName>
    <definedName name="SCDPT3_150ENDINGG_15" localSheetId="6">GMIC_22A_SCDPT3!$Q$215</definedName>
    <definedName name="SCDPT3_150ENDINGG_2" localSheetId="6">GMIC_22A_SCDPT3!$D$215</definedName>
    <definedName name="SCDPT3_150ENDINGG_3" localSheetId="6">GMIC_22A_SCDPT3!$E$215</definedName>
    <definedName name="SCDPT3_150ENDINGG_4" localSheetId="6">GMIC_22A_SCDPT3!$F$215</definedName>
    <definedName name="SCDPT3_150ENDINGG_5" localSheetId="6">GMIC_22A_SCDPT3!$G$215</definedName>
    <definedName name="SCDPT3_150ENDINGG_6" localSheetId="6">GMIC_22A_SCDPT3!$H$215</definedName>
    <definedName name="SCDPT3_150ENDINGG_7" localSheetId="6">GMIC_22A_SCDPT3!$I$215</definedName>
    <definedName name="SCDPT3_150ENDINGG_8" localSheetId="6">GMIC_22A_SCDPT3!$J$215</definedName>
    <definedName name="SCDPT3_150ENDINGG_9" localSheetId="6">GMIC_22A_SCDPT3!$K$215</definedName>
    <definedName name="SCDPT3_1610000000_Range" localSheetId="6">GMIC_22A_SCDPT3!$B$217:$Q$219</definedName>
    <definedName name="SCDPT3_1619999999_7" localSheetId="6">GMIC_22A_SCDPT3!$I$220</definedName>
    <definedName name="SCDPT3_1619999999_8" localSheetId="6">GMIC_22A_SCDPT3!$J$220</definedName>
    <definedName name="SCDPT3_1619999999_9" localSheetId="6">GMIC_22A_SCDPT3!$K$220</definedName>
    <definedName name="SCDPT3_161BEGINNG_1" localSheetId="6">GMIC_22A_SCDPT3!$C$217</definedName>
    <definedName name="SCDPT3_161BEGINNG_10" localSheetId="6">GMIC_22A_SCDPT3!$L$217</definedName>
    <definedName name="SCDPT3_161BEGINNG_11" localSheetId="6">GMIC_22A_SCDPT3!$M$217</definedName>
    <definedName name="SCDPT3_161BEGINNG_12" localSheetId="6">GMIC_22A_SCDPT3!$N$217</definedName>
    <definedName name="SCDPT3_161BEGINNG_13" localSheetId="6">GMIC_22A_SCDPT3!$O$217</definedName>
    <definedName name="SCDPT3_161BEGINNG_14" localSheetId="6">GMIC_22A_SCDPT3!$P$217</definedName>
    <definedName name="SCDPT3_161BEGINNG_15" localSheetId="6">GMIC_22A_SCDPT3!$Q$217</definedName>
    <definedName name="SCDPT3_161BEGINNG_2" localSheetId="6">GMIC_22A_SCDPT3!$D$217</definedName>
    <definedName name="SCDPT3_161BEGINNG_3" localSheetId="6">GMIC_22A_SCDPT3!$E$217</definedName>
    <definedName name="SCDPT3_161BEGINNG_4" localSheetId="6">GMIC_22A_SCDPT3!$F$217</definedName>
    <definedName name="SCDPT3_161BEGINNG_5" localSheetId="6">GMIC_22A_SCDPT3!$G$217</definedName>
    <definedName name="SCDPT3_161BEGINNG_6" localSheetId="6">GMIC_22A_SCDPT3!$H$217</definedName>
    <definedName name="SCDPT3_161BEGINNG_7" localSheetId="6">GMIC_22A_SCDPT3!$I$217</definedName>
    <definedName name="SCDPT3_161BEGINNG_8" localSheetId="6">GMIC_22A_SCDPT3!$J$217</definedName>
    <definedName name="SCDPT3_161BEGINNG_9" localSheetId="6">GMIC_22A_SCDPT3!$K$217</definedName>
    <definedName name="SCDPT3_161ENDINGG_10" localSheetId="6">GMIC_22A_SCDPT3!$L$219</definedName>
    <definedName name="SCDPT3_161ENDINGG_11" localSheetId="6">GMIC_22A_SCDPT3!$M$219</definedName>
    <definedName name="SCDPT3_161ENDINGG_12" localSheetId="6">GMIC_22A_SCDPT3!$N$219</definedName>
    <definedName name="SCDPT3_161ENDINGG_13" localSheetId="6">GMIC_22A_SCDPT3!$O$219</definedName>
    <definedName name="SCDPT3_161ENDINGG_14" localSheetId="6">GMIC_22A_SCDPT3!$P$219</definedName>
    <definedName name="SCDPT3_161ENDINGG_15" localSheetId="6">GMIC_22A_SCDPT3!$Q$219</definedName>
    <definedName name="SCDPT3_161ENDINGG_2" localSheetId="6">GMIC_22A_SCDPT3!$D$219</definedName>
    <definedName name="SCDPT3_161ENDINGG_3" localSheetId="6">GMIC_22A_SCDPT3!$E$219</definedName>
    <definedName name="SCDPT3_161ENDINGG_4" localSheetId="6">GMIC_22A_SCDPT3!$F$219</definedName>
    <definedName name="SCDPT3_161ENDINGG_5" localSheetId="6">GMIC_22A_SCDPT3!$G$219</definedName>
    <definedName name="SCDPT3_161ENDINGG_6" localSheetId="6">GMIC_22A_SCDPT3!$H$219</definedName>
    <definedName name="SCDPT3_161ENDINGG_7" localSheetId="6">GMIC_22A_SCDPT3!$I$219</definedName>
    <definedName name="SCDPT3_161ENDINGG_8" localSheetId="6">GMIC_22A_SCDPT3!$J$219</definedName>
    <definedName name="SCDPT3_161ENDINGG_9" localSheetId="6">GMIC_22A_SCDPT3!$K$219</definedName>
    <definedName name="SCDPT3_1900000000_Range" localSheetId="6">GMIC_22A_SCDPT3!$B$221:$Q$223</definedName>
    <definedName name="SCDPT3_1909999999_7" localSheetId="6">GMIC_22A_SCDPT3!$I$224</definedName>
    <definedName name="SCDPT3_1909999999_8" localSheetId="6">GMIC_22A_SCDPT3!$J$224</definedName>
    <definedName name="SCDPT3_1909999999_9" localSheetId="6">GMIC_22A_SCDPT3!$K$224</definedName>
    <definedName name="SCDPT3_190BEGINNG_1" localSheetId="6">GMIC_22A_SCDPT3!$C$221</definedName>
    <definedName name="SCDPT3_190BEGINNG_10" localSheetId="6">GMIC_22A_SCDPT3!$L$221</definedName>
    <definedName name="SCDPT3_190BEGINNG_11" localSheetId="6">GMIC_22A_SCDPT3!$M$221</definedName>
    <definedName name="SCDPT3_190BEGINNG_12" localSheetId="6">GMIC_22A_SCDPT3!$N$221</definedName>
    <definedName name="SCDPT3_190BEGINNG_13" localSheetId="6">GMIC_22A_SCDPT3!$O$221</definedName>
    <definedName name="SCDPT3_190BEGINNG_14" localSheetId="6">GMIC_22A_SCDPT3!$P$221</definedName>
    <definedName name="SCDPT3_190BEGINNG_15" localSheetId="6">GMIC_22A_SCDPT3!$Q$221</definedName>
    <definedName name="SCDPT3_190BEGINNG_2" localSheetId="6">GMIC_22A_SCDPT3!$D$221</definedName>
    <definedName name="SCDPT3_190BEGINNG_3" localSheetId="6">GMIC_22A_SCDPT3!$E$221</definedName>
    <definedName name="SCDPT3_190BEGINNG_4" localSheetId="6">GMIC_22A_SCDPT3!$F$221</definedName>
    <definedName name="SCDPT3_190BEGINNG_5" localSheetId="6">GMIC_22A_SCDPT3!$G$221</definedName>
    <definedName name="SCDPT3_190BEGINNG_6" localSheetId="6">GMIC_22A_SCDPT3!$H$221</definedName>
    <definedName name="SCDPT3_190BEGINNG_7" localSheetId="6">GMIC_22A_SCDPT3!$I$221</definedName>
    <definedName name="SCDPT3_190BEGINNG_8" localSheetId="6">GMIC_22A_SCDPT3!$J$221</definedName>
    <definedName name="SCDPT3_190BEGINNG_9" localSheetId="6">GMIC_22A_SCDPT3!$K$221</definedName>
    <definedName name="SCDPT3_190ENDINGG_10" localSheetId="6">GMIC_22A_SCDPT3!$L$223</definedName>
    <definedName name="SCDPT3_190ENDINGG_11" localSheetId="6">GMIC_22A_SCDPT3!$M$223</definedName>
    <definedName name="SCDPT3_190ENDINGG_12" localSheetId="6">GMIC_22A_SCDPT3!$N$223</definedName>
    <definedName name="SCDPT3_190ENDINGG_13" localSheetId="6">GMIC_22A_SCDPT3!$O$223</definedName>
    <definedName name="SCDPT3_190ENDINGG_14" localSheetId="6">GMIC_22A_SCDPT3!$P$223</definedName>
    <definedName name="SCDPT3_190ENDINGG_15" localSheetId="6">GMIC_22A_SCDPT3!$Q$223</definedName>
    <definedName name="SCDPT3_190ENDINGG_2" localSheetId="6">GMIC_22A_SCDPT3!$D$223</definedName>
    <definedName name="SCDPT3_190ENDINGG_3" localSheetId="6">GMIC_22A_SCDPT3!$E$223</definedName>
    <definedName name="SCDPT3_190ENDINGG_4" localSheetId="6">GMIC_22A_SCDPT3!$F$223</definedName>
    <definedName name="SCDPT3_190ENDINGG_5" localSheetId="6">GMIC_22A_SCDPT3!$G$223</definedName>
    <definedName name="SCDPT3_190ENDINGG_6" localSheetId="6">GMIC_22A_SCDPT3!$H$223</definedName>
    <definedName name="SCDPT3_190ENDINGG_7" localSheetId="6">GMIC_22A_SCDPT3!$I$223</definedName>
    <definedName name="SCDPT3_190ENDINGG_8" localSheetId="6">GMIC_22A_SCDPT3!$J$223</definedName>
    <definedName name="SCDPT3_190ENDINGG_9" localSheetId="6">GMIC_22A_SCDPT3!$K$223</definedName>
    <definedName name="SCDPT3_2010000000_Range" localSheetId="6">GMIC_22A_SCDPT3!$B$225:$Q$227</definedName>
    <definedName name="SCDPT3_2019999999_7" localSheetId="6">GMIC_22A_SCDPT3!$I$228</definedName>
    <definedName name="SCDPT3_2019999999_8" localSheetId="6">GMIC_22A_SCDPT3!$J$228</definedName>
    <definedName name="SCDPT3_2019999999_9" localSheetId="6">GMIC_22A_SCDPT3!$K$228</definedName>
    <definedName name="SCDPT3_201BEGINNG_1" localSheetId="6">GMIC_22A_SCDPT3!$C$225</definedName>
    <definedName name="SCDPT3_201BEGINNG_10" localSheetId="6">GMIC_22A_SCDPT3!$L$225</definedName>
    <definedName name="SCDPT3_201BEGINNG_11" localSheetId="6">GMIC_22A_SCDPT3!$M$225</definedName>
    <definedName name="SCDPT3_201BEGINNG_12" localSheetId="6">GMIC_22A_SCDPT3!$N$225</definedName>
    <definedName name="SCDPT3_201BEGINNG_13" localSheetId="6">GMIC_22A_SCDPT3!$O$225</definedName>
    <definedName name="SCDPT3_201BEGINNG_14" localSheetId="6">GMIC_22A_SCDPT3!$P$225</definedName>
    <definedName name="SCDPT3_201BEGINNG_15" localSheetId="6">GMIC_22A_SCDPT3!$Q$225</definedName>
    <definedName name="SCDPT3_201BEGINNG_2" localSheetId="6">GMIC_22A_SCDPT3!$D$225</definedName>
    <definedName name="SCDPT3_201BEGINNG_3" localSheetId="6">GMIC_22A_SCDPT3!$E$225</definedName>
    <definedName name="SCDPT3_201BEGINNG_4" localSheetId="6">GMIC_22A_SCDPT3!$F$225</definedName>
    <definedName name="SCDPT3_201BEGINNG_5" localSheetId="6">GMIC_22A_SCDPT3!$G$225</definedName>
    <definedName name="SCDPT3_201BEGINNG_6" localSheetId="6">GMIC_22A_SCDPT3!$H$225</definedName>
    <definedName name="SCDPT3_201BEGINNG_7" localSheetId="6">GMIC_22A_SCDPT3!$I$225</definedName>
    <definedName name="SCDPT3_201BEGINNG_8" localSheetId="6">GMIC_22A_SCDPT3!$J$225</definedName>
    <definedName name="SCDPT3_201BEGINNG_9" localSheetId="6">GMIC_22A_SCDPT3!$K$225</definedName>
    <definedName name="SCDPT3_201ENDINGG_10" localSheetId="6">GMIC_22A_SCDPT3!$L$227</definedName>
    <definedName name="SCDPT3_201ENDINGG_11" localSheetId="6">GMIC_22A_SCDPT3!$M$227</definedName>
    <definedName name="SCDPT3_201ENDINGG_12" localSheetId="6">GMIC_22A_SCDPT3!$N$227</definedName>
    <definedName name="SCDPT3_201ENDINGG_13" localSheetId="6">GMIC_22A_SCDPT3!$O$227</definedName>
    <definedName name="SCDPT3_201ENDINGG_14" localSheetId="6">GMIC_22A_SCDPT3!$P$227</definedName>
    <definedName name="SCDPT3_201ENDINGG_15" localSheetId="6">GMIC_22A_SCDPT3!$Q$227</definedName>
    <definedName name="SCDPT3_201ENDINGG_2" localSheetId="6">GMIC_22A_SCDPT3!$D$227</definedName>
    <definedName name="SCDPT3_201ENDINGG_3" localSheetId="6">GMIC_22A_SCDPT3!$E$227</definedName>
    <definedName name="SCDPT3_201ENDINGG_4" localSheetId="6">GMIC_22A_SCDPT3!$F$227</definedName>
    <definedName name="SCDPT3_201ENDINGG_5" localSheetId="6">GMIC_22A_SCDPT3!$G$227</definedName>
    <definedName name="SCDPT3_201ENDINGG_6" localSheetId="6">GMIC_22A_SCDPT3!$H$227</definedName>
    <definedName name="SCDPT3_201ENDINGG_7" localSheetId="6">GMIC_22A_SCDPT3!$I$227</definedName>
    <definedName name="SCDPT3_201ENDINGG_8" localSheetId="6">GMIC_22A_SCDPT3!$J$227</definedName>
    <definedName name="SCDPT3_201ENDINGG_9" localSheetId="6">GMIC_22A_SCDPT3!$K$227</definedName>
    <definedName name="SCDPT3_2509999997_7" localSheetId="6">GMIC_22A_SCDPT3!$I$229</definedName>
    <definedName name="SCDPT3_2509999997_8" localSheetId="6">GMIC_22A_SCDPT3!$J$229</definedName>
    <definedName name="SCDPT3_2509999997_9" localSheetId="6">GMIC_22A_SCDPT3!$K$229</definedName>
    <definedName name="SCDPT3_2509999998_7" localSheetId="6">GMIC_22A_SCDPT3!$I$230</definedName>
    <definedName name="SCDPT3_2509999998_8" localSheetId="6">GMIC_22A_SCDPT3!$J$230</definedName>
    <definedName name="SCDPT3_2509999998_9" localSheetId="6">GMIC_22A_SCDPT3!$K$230</definedName>
    <definedName name="SCDPT3_2509999999_7" localSheetId="6">GMIC_22A_SCDPT3!$I$231</definedName>
    <definedName name="SCDPT3_2509999999_8" localSheetId="6">GMIC_22A_SCDPT3!$J$231</definedName>
    <definedName name="SCDPT3_2509999999_9" localSheetId="6">GMIC_22A_SCDPT3!$K$231</definedName>
    <definedName name="SCDPT3_4010000000_Range" localSheetId="6">GMIC_22A_SCDPT3!$B$232:$Q$234</definedName>
    <definedName name="SCDPT3_4019999999_7" localSheetId="6">GMIC_22A_SCDPT3!$I$235</definedName>
    <definedName name="SCDPT3_4019999999_9" localSheetId="6">GMIC_22A_SCDPT3!$K$235</definedName>
    <definedName name="SCDPT3_401BEGINNG_1" localSheetId="6">GMIC_22A_SCDPT3!$C$232</definedName>
    <definedName name="SCDPT3_401BEGINNG_10" localSheetId="6">GMIC_22A_SCDPT3!$L$232</definedName>
    <definedName name="SCDPT3_401BEGINNG_11" localSheetId="6">GMIC_22A_SCDPT3!$M$232</definedName>
    <definedName name="SCDPT3_401BEGINNG_12" localSheetId="6">GMIC_22A_SCDPT3!$N$232</definedName>
    <definedName name="SCDPT3_401BEGINNG_13" localSheetId="6">GMIC_22A_SCDPT3!$O$232</definedName>
    <definedName name="SCDPT3_401BEGINNG_14" localSheetId="6">GMIC_22A_SCDPT3!$P$232</definedName>
    <definedName name="SCDPT3_401BEGINNG_15" localSheetId="6">GMIC_22A_SCDPT3!$Q$232</definedName>
    <definedName name="SCDPT3_401BEGINNG_2" localSheetId="6">GMIC_22A_SCDPT3!$D$232</definedName>
    <definedName name="SCDPT3_401BEGINNG_3" localSheetId="6">GMIC_22A_SCDPT3!$E$232</definedName>
    <definedName name="SCDPT3_401BEGINNG_4" localSheetId="6">GMIC_22A_SCDPT3!$F$232</definedName>
    <definedName name="SCDPT3_401BEGINNG_5" localSheetId="6">GMIC_22A_SCDPT3!$G$232</definedName>
    <definedName name="SCDPT3_401BEGINNG_6" localSheetId="6">GMIC_22A_SCDPT3!$H$232</definedName>
    <definedName name="SCDPT3_401BEGINNG_7" localSheetId="6">GMIC_22A_SCDPT3!$I$232</definedName>
    <definedName name="SCDPT3_401BEGINNG_8" localSheetId="6">GMIC_22A_SCDPT3!$J$232</definedName>
    <definedName name="SCDPT3_401BEGINNG_9" localSheetId="6">GMIC_22A_SCDPT3!$K$232</definedName>
    <definedName name="SCDPT3_401ENDINGG_10" localSheetId="6">GMIC_22A_SCDPT3!$L$234</definedName>
    <definedName name="SCDPT3_401ENDINGG_11" localSheetId="6">GMIC_22A_SCDPT3!$M$234</definedName>
    <definedName name="SCDPT3_401ENDINGG_12" localSheetId="6">GMIC_22A_SCDPT3!$N$234</definedName>
    <definedName name="SCDPT3_401ENDINGG_13" localSheetId="6">GMIC_22A_SCDPT3!$O$234</definedName>
    <definedName name="SCDPT3_401ENDINGG_14" localSheetId="6">GMIC_22A_SCDPT3!$P$234</definedName>
    <definedName name="SCDPT3_401ENDINGG_15" localSheetId="6">GMIC_22A_SCDPT3!$Q$234</definedName>
    <definedName name="SCDPT3_401ENDINGG_2" localSheetId="6">GMIC_22A_SCDPT3!$D$234</definedName>
    <definedName name="SCDPT3_401ENDINGG_3" localSheetId="6">GMIC_22A_SCDPT3!$E$234</definedName>
    <definedName name="SCDPT3_401ENDINGG_4" localSheetId="6">GMIC_22A_SCDPT3!$F$234</definedName>
    <definedName name="SCDPT3_401ENDINGG_5" localSheetId="6">GMIC_22A_SCDPT3!$G$234</definedName>
    <definedName name="SCDPT3_401ENDINGG_6" localSheetId="6">GMIC_22A_SCDPT3!$H$234</definedName>
    <definedName name="SCDPT3_401ENDINGG_7" localSheetId="6">GMIC_22A_SCDPT3!$I$234</definedName>
    <definedName name="SCDPT3_401ENDINGG_8" localSheetId="6">GMIC_22A_SCDPT3!$J$234</definedName>
    <definedName name="SCDPT3_401ENDINGG_9" localSheetId="6">GMIC_22A_SCDPT3!$K$234</definedName>
    <definedName name="SCDPT3_4020000000_Range" localSheetId="6">GMIC_22A_SCDPT3!$B$236:$Q$238</definedName>
    <definedName name="SCDPT3_4029999999_7" localSheetId="6">GMIC_22A_SCDPT3!$I$239</definedName>
    <definedName name="SCDPT3_4029999999_9" localSheetId="6">GMIC_22A_SCDPT3!$K$239</definedName>
    <definedName name="SCDPT3_402BEGINNG_1" localSheetId="6">GMIC_22A_SCDPT3!$C$236</definedName>
    <definedName name="SCDPT3_402BEGINNG_10" localSheetId="6">GMIC_22A_SCDPT3!$L$236</definedName>
    <definedName name="SCDPT3_402BEGINNG_11" localSheetId="6">GMIC_22A_SCDPT3!$M$236</definedName>
    <definedName name="SCDPT3_402BEGINNG_12" localSheetId="6">GMIC_22A_SCDPT3!$N$236</definedName>
    <definedName name="SCDPT3_402BEGINNG_13" localSheetId="6">GMIC_22A_SCDPT3!$O$236</definedName>
    <definedName name="SCDPT3_402BEGINNG_14" localSheetId="6">GMIC_22A_SCDPT3!$P$236</definedName>
    <definedName name="SCDPT3_402BEGINNG_15" localSheetId="6">GMIC_22A_SCDPT3!$Q$236</definedName>
    <definedName name="SCDPT3_402BEGINNG_2" localSheetId="6">GMIC_22A_SCDPT3!$D$236</definedName>
    <definedName name="SCDPT3_402BEGINNG_3" localSheetId="6">GMIC_22A_SCDPT3!$E$236</definedName>
    <definedName name="SCDPT3_402BEGINNG_4" localSheetId="6">GMIC_22A_SCDPT3!$F$236</definedName>
    <definedName name="SCDPT3_402BEGINNG_5" localSheetId="6">GMIC_22A_SCDPT3!$G$236</definedName>
    <definedName name="SCDPT3_402BEGINNG_6" localSheetId="6">GMIC_22A_SCDPT3!$H$236</definedName>
    <definedName name="SCDPT3_402BEGINNG_7" localSheetId="6">GMIC_22A_SCDPT3!$I$236</definedName>
    <definedName name="SCDPT3_402BEGINNG_8" localSheetId="6">GMIC_22A_SCDPT3!$J$236</definedName>
    <definedName name="SCDPT3_402BEGINNG_9" localSheetId="6">GMIC_22A_SCDPT3!$K$236</definedName>
    <definedName name="SCDPT3_402ENDINGG_10" localSheetId="6">GMIC_22A_SCDPT3!$L$238</definedName>
    <definedName name="SCDPT3_402ENDINGG_11" localSheetId="6">GMIC_22A_SCDPT3!$M$238</definedName>
    <definedName name="SCDPT3_402ENDINGG_12" localSheetId="6">GMIC_22A_SCDPT3!$N$238</definedName>
    <definedName name="SCDPT3_402ENDINGG_13" localSheetId="6">GMIC_22A_SCDPT3!$O$238</definedName>
    <definedName name="SCDPT3_402ENDINGG_14" localSheetId="6">GMIC_22A_SCDPT3!$P$238</definedName>
    <definedName name="SCDPT3_402ENDINGG_15" localSheetId="6">GMIC_22A_SCDPT3!$Q$238</definedName>
    <definedName name="SCDPT3_402ENDINGG_2" localSheetId="6">GMIC_22A_SCDPT3!$D$238</definedName>
    <definedName name="SCDPT3_402ENDINGG_3" localSheetId="6">GMIC_22A_SCDPT3!$E$238</definedName>
    <definedName name="SCDPT3_402ENDINGG_4" localSheetId="6">GMIC_22A_SCDPT3!$F$238</definedName>
    <definedName name="SCDPT3_402ENDINGG_5" localSheetId="6">GMIC_22A_SCDPT3!$G$238</definedName>
    <definedName name="SCDPT3_402ENDINGG_6" localSheetId="6">GMIC_22A_SCDPT3!$H$238</definedName>
    <definedName name="SCDPT3_402ENDINGG_7" localSheetId="6">GMIC_22A_SCDPT3!$I$238</definedName>
    <definedName name="SCDPT3_402ENDINGG_8" localSheetId="6">GMIC_22A_SCDPT3!$J$238</definedName>
    <definedName name="SCDPT3_402ENDINGG_9" localSheetId="6">GMIC_22A_SCDPT3!$K$238</definedName>
    <definedName name="SCDPT3_4310000000_Range" localSheetId="6">GMIC_22A_SCDPT3!$B$240:$Q$242</definedName>
    <definedName name="SCDPT3_4319999999_7" localSheetId="6">GMIC_22A_SCDPT3!$I$243</definedName>
    <definedName name="SCDPT3_4319999999_9" localSheetId="6">GMIC_22A_SCDPT3!$K$243</definedName>
    <definedName name="SCDPT3_431BEGINNG_1" localSheetId="6">GMIC_22A_SCDPT3!$C$240</definedName>
    <definedName name="SCDPT3_431BEGINNG_10" localSheetId="6">GMIC_22A_SCDPT3!$L$240</definedName>
    <definedName name="SCDPT3_431BEGINNG_11" localSheetId="6">GMIC_22A_SCDPT3!$M$240</definedName>
    <definedName name="SCDPT3_431BEGINNG_12" localSheetId="6">GMIC_22A_SCDPT3!$N$240</definedName>
    <definedName name="SCDPT3_431BEGINNG_13" localSheetId="6">GMIC_22A_SCDPT3!$O$240</definedName>
    <definedName name="SCDPT3_431BEGINNG_14" localSheetId="6">GMIC_22A_SCDPT3!$P$240</definedName>
    <definedName name="SCDPT3_431BEGINNG_15" localSheetId="6">GMIC_22A_SCDPT3!$Q$240</definedName>
    <definedName name="SCDPT3_431BEGINNG_2" localSheetId="6">GMIC_22A_SCDPT3!$D$240</definedName>
    <definedName name="SCDPT3_431BEGINNG_3" localSheetId="6">GMIC_22A_SCDPT3!$E$240</definedName>
    <definedName name="SCDPT3_431BEGINNG_4" localSheetId="6">GMIC_22A_SCDPT3!$F$240</definedName>
    <definedName name="SCDPT3_431BEGINNG_5" localSheetId="6">GMIC_22A_SCDPT3!$G$240</definedName>
    <definedName name="SCDPT3_431BEGINNG_6" localSheetId="6">GMIC_22A_SCDPT3!$H$240</definedName>
    <definedName name="SCDPT3_431BEGINNG_7" localSheetId="6">GMIC_22A_SCDPT3!$I$240</definedName>
    <definedName name="SCDPT3_431BEGINNG_8" localSheetId="6">GMIC_22A_SCDPT3!$J$240</definedName>
    <definedName name="SCDPT3_431BEGINNG_9" localSheetId="6">GMIC_22A_SCDPT3!$K$240</definedName>
    <definedName name="SCDPT3_431ENDINGG_10" localSheetId="6">GMIC_22A_SCDPT3!$L$242</definedName>
    <definedName name="SCDPT3_431ENDINGG_11" localSheetId="6">GMIC_22A_SCDPT3!$M$242</definedName>
    <definedName name="SCDPT3_431ENDINGG_12" localSheetId="6">GMIC_22A_SCDPT3!$N$242</definedName>
    <definedName name="SCDPT3_431ENDINGG_13" localSheetId="6">GMIC_22A_SCDPT3!$O$242</definedName>
    <definedName name="SCDPT3_431ENDINGG_14" localSheetId="6">GMIC_22A_SCDPT3!$P$242</definedName>
    <definedName name="SCDPT3_431ENDINGG_15" localSheetId="6">GMIC_22A_SCDPT3!$Q$242</definedName>
    <definedName name="SCDPT3_431ENDINGG_2" localSheetId="6">GMIC_22A_SCDPT3!$D$242</definedName>
    <definedName name="SCDPT3_431ENDINGG_3" localSheetId="6">GMIC_22A_SCDPT3!$E$242</definedName>
    <definedName name="SCDPT3_431ENDINGG_4" localSheetId="6">GMIC_22A_SCDPT3!$F$242</definedName>
    <definedName name="SCDPT3_431ENDINGG_5" localSheetId="6">GMIC_22A_SCDPT3!$G$242</definedName>
    <definedName name="SCDPT3_431ENDINGG_6" localSheetId="6">GMIC_22A_SCDPT3!$H$242</definedName>
    <definedName name="SCDPT3_431ENDINGG_7" localSheetId="6">GMIC_22A_SCDPT3!$I$242</definedName>
    <definedName name="SCDPT3_431ENDINGG_8" localSheetId="6">GMIC_22A_SCDPT3!$J$242</definedName>
    <definedName name="SCDPT3_431ENDINGG_9" localSheetId="6">GMIC_22A_SCDPT3!$K$242</definedName>
    <definedName name="SCDPT3_4320000000_Range" localSheetId="6">GMIC_22A_SCDPT3!$B$244:$Q$246</definedName>
    <definedName name="SCDPT3_4329999999_7" localSheetId="6">GMIC_22A_SCDPT3!$I$247</definedName>
    <definedName name="SCDPT3_4329999999_9" localSheetId="6">GMIC_22A_SCDPT3!$K$247</definedName>
    <definedName name="SCDPT3_432BEGINNG_1" localSheetId="6">GMIC_22A_SCDPT3!$C$244</definedName>
    <definedName name="SCDPT3_432BEGINNG_10" localSheetId="6">GMIC_22A_SCDPT3!$L$244</definedName>
    <definedName name="SCDPT3_432BEGINNG_11" localSheetId="6">GMIC_22A_SCDPT3!$M$244</definedName>
    <definedName name="SCDPT3_432BEGINNG_12" localSheetId="6">GMIC_22A_SCDPT3!$N$244</definedName>
    <definedName name="SCDPT3_432BEGINNG_13" localSheetId="6">GMIC_22A_SCDPT3!$O$244</definedName>
    <definedName name="SCDPT3_432BEGINNG_14" localSheetId="6">GMIC_22A_SCDPT3!$P$244</definedName>
    <definedName name="SCDPT3_432BEGINNG_15" localSheetId="6">GMIC_22A_SCDPT3!$Q$244</definedName>
    <definedName name="SCDPT3_432BEGINNG_2" localSheetId="6">GMIC_22A_SCDPT3!$D$244</definedName>
    <definedName name="SCDPT3_432BEGINNG_3" localSheetId="6">GMIC_22A_SCDPT3!$E$244</definedName>
    <definedName name="SCDPT3_432BEGINNG_4" localSheetId="6">GMIC_22A_SCDPT3!$F$244</definedName>
    <definedName name="SCDPT3_432BEGINNG_5" localSheetId="6">GMIC_22A_SCDPT3!$G$244</definedName>
    <definedName name="SCDPT3_432BEGINNG_6" localSheetId="6">GMIC_22A_SCDPT3!$H$244</definedName>
    <definedName name="SCDPT3_432BEGINNG_7" localSheetId="6">GMIC_22A_SCDPT3!$I$244</definedName>
    <definedName name="SCDPT3_432BEGINNG_8" localSheetId="6">GMIC_22A_SCDPT3!$J$244</definedName>
    <definedName name="SCDPT3_432BEGINNG_9" localSheetId="6">GMIC_22A_SCDPT3!$K$244</definedName>
    <definedName name="SCDPT3_432ENDINGG_10" localSheetId="6">GMIC_22A_SCDPT3!$L$246</definedName>
    <definedName name="SCDPT3_432ENDINGG_11" localSheetId="6">GMIC_22A_SCDPT3!$M$246</definedName>
    <definedName name="SCDPT3_432ENDINGG_12" localSheetId="6">GMIC_22A_SCDPT3!$N$246</definedName>
    <definedName name="SCDPT3_432ENDINGG_13" localSheetId="6">GMIC_22A_SCDPT3!$O$246</definedName>
    <definedName name="SCDPT3_432ENDINGG_14" localSheetId="6">GMIC_22A_SCDPT3!$P$246</definedName>
    <definedName name="SCDPT3_432ENDINGG_15" localSheetId="6">GMIC_22A_SCDPT3!$Q$246</definedName>
    <definedName name="SCDPT3_432ENDINGG_2" localSheetId="6">GMIC_22A_SCDPT3!$D$246</definedName>
    <definedName name="SCDPT3_432ENDINGG_3" localSheetId="6">GMIC_22A_SCDPT3!$E$246</definedName>
    <definedName name="SCDPT3_432ENDINGG_4" localSheetId="6">GMIC_22A_SCDPT3!$F$246</definedName>
    <definedName name="SCDPT3_432ENDINGG_5" localSheetId="6">GMIC_22A_SCDPT3!$G$246</definedName>
    <definedName name="SCDPT3_432ENDINGG_6" localSheetId="6">GMIC_22A_SCDPT3!$H$246</definedName>
    <definedName name="SCDPT3_432ENDINGG_7" localSheetId="6">GMIC_22A_SCDPT3!$I$246</definedName>
    <definedName name="SCDPT3_432ENDINGG_8" localSheetId="6">GMIC_22A_SCDPT3!$J$246</definedName>
    <definedName name="SCDPT3_432ENDINGG_9" localSheetId="6">GMIC_22A_SCDPT3!$K$246</definedName>
    <definedName name="SCDPT3_4509999997_7" localSheetId="6">GMIC_22A_SCDPT3!$I$248</definedName>
    <definedName name="SCDPT3_4509999997_9" localSheetId="6">GMIC_22A_SCDPT3!$K$248</definedName>
    <definedName name="SCDPT3_4509999998_7" localSheetId="6">GMIC_22A_SCDPT3!$I$249</definedName>
    <definedName name="SCDPT3_4509999998_9" localSheetId="6">GMIC_22A_SCDPT3!$K$249</definedName>
    <definedName name="SCDPT3_4509999999_7" localSheetId="6">GMIC_22A_SCDPT3!$I$250</definedName>
    <definedName name="SCDPT3_4509999999_9" localSheetId="6">GMIC_22A_SCDPT3!$K$250</definedName>
    <definedName name="SCDPT3_5010000000_Range" localSheetId="6">GMIC_22A_SCDPT3!$B$251:$Q$253</definedName>
    <definedName name="SCDPT3_5019999999_7" localSheetId="6">GMIC_22A_SCDPT3!$I$254</definedName>
    <definedName name="SCDPT3_5019999999_9" localSheetId="6">GMIC_22A_SCDPT3!$K$254</definedName>
    <definedName name="SCDPT3_501BEGINNG_1" localSheetId="6">GMIC_22A_SCDPT3!$C$251</definedName>
    <definedName name="SCDPT3_501BEGINNG_10" localSheetId="6">GMIC_22A_SCDPT3!$L$251</definedName>
    <definedName name="SCDPT3_501BEGINNG_11" localSheetId="6">GMIC_22A_SCDPT3!$M$251</definedName>
    <definedName name="SCDPT3_501BEGINNG_12" localSheetId="6">GMIC_22A_SCDPT3!$N$251</definedName>
    <definedName name="SCDPT3_501BEGINNG_13" localSheetId="6">GMIC_22A_SCDPT3!$O$251</definedName>
    <definedName name="SCDPT3_501BEGINNG_14" localSheetId="6">GMIC_22A_SCDPT3!$P$251</definedName>
    <definedName name="SCDPT3_501BEGINNG_15" localSheetId="6">GMIC_22A_SCDPT3!$Q$251</definedName>
    <definedName name="SCDPT3_501BEGINNG_2" localSheetId="6">GMIC_22A_SCDPT3!$D$251</definedName>
    <definedName name="SCDPT3_501BEGINNG_3" localSheetId="6">GMIC_22A_SCDPT3!$E$251</definedName>
    <definedName name="SCDPT3_501BEGINNG_4" localSheetId="6">GMIC_22A_SCDPT3!$F$251</definedName>
    <definedName name="SCDPT3_501BEGINNG_5" localSheetId="6">GMIC_22A_SCDPT3!$G$251</definedName>
    <definedName name="SCDPT3_501BEGINNG_6" localSheetId="6">GMIC_22A_SCDPT3!$H$251</definedName>
    <definedName name="SCDPT3_501BEGINNG_7" localSheetId="6">GMIC_22A_SCDPT3!$I$251</definedName>
    <definedName name="SCDPT3_501BEGINNG_8" localSheetId="6">GMIC_22A_SCDPT3!$J$251</definedName>
    <definedName name="SCDPT3_501BEGINNG_9" localSheetId="6">GMIC_22A_SCDPT3!$K$251</definedName>
    <definedName name="SCDPT3_501ENDINGG_10" localSheetId="6">GMIC_22A_SCDPT3!$L$253</definedName>
    <definedName name="SCDPT3_501ENDINGG_11" localSheetId="6">GMIC_22A_SCDPT3!$M$253</definedName>
    <definedName name="SCDPT3_501ENDINGG_12" localSheetId="6">GMIC_22A_SCDPT3!$N$253</definedName>
    <definedName name="SCDPT3_501ENDINGG_13" localSheetId="6">GMIC_22A_SCDPT3!$O$253</definedName>
    <definedName name="SCDPT3_501ENDINGG_14" localSheetId="6">GMIC_22A_SCDPT3!$P$253</definedName>
    <definedName name="SCDPT3_501ENDINGG_15" localSheetId="6">GMIC_22A_SCDPT3!$Q$253</definedName>
    <definedName name="SCDPT3_501ENDINGG_2" localSheetId="6">GMIC_22A_SCDPT3!$D$253</definedName>
    <definedName name="SCDPT3_501ENDINGG_3" localSheetId="6">GMIC_22A_SCDPT3!$E$253</definedName>
    <definedName name="SCDPT3_501ENDINGG_4" localSheetId="6">GMIC_22A_SCDPT3!$F$253</definedName>
    <definedName name="SCDPT3_501ENDINGG_5" localSheetId="6">GMIC_22A_SCDPT3!$G$253</definedName>
    <definedName name="SCDPT3_501ENDINGG_6" localSheetId="6">GMIC_22A_SCDPT3!$H$253</definedName>
    <definedName name="SCDPT3_501ENDINGG_7" localSheetId="6">GMIC_22A_SCDPT3!$I$253</definedName>
    <definedName name="SCDPT3_501ENDINGG_8" localSheetId="6">GMIC_22A_SCDPT3!$J$253</definedName>
    <definedName name="SCDPT3_501ENDINGG_9" localSheetId="6">GMIC_22A_SCDPT3!$K$253</definedName>
    <definedName name="SCDPT3_5020000000_Range" localSheetId="6">GMIC_22A_SCDPT3!$B$255:$Q$257</definedName>
    <definedName name="SCDPT3_5029999999_7" localSheetId="6">GMIC_22A_SCDPT3!$I$258</definedName>
    <definedName name="SCDPT3_5029999999_9" localSheetId="6">GMIC_22A_SCDPT3!$K$258</definedName>
    <definedName name="SCDPT3_502BEGINNG_1" localSheetId="6">GMIC_22A_SCDPT3!$C$255</definedName>
    <definedName name="SCDPT3_502BEGINNG_10" localSheetId="6">GMIC_22A_SCDPT3!$L$255</definedName>
    <definedName name="SCDPT3_502BEGINNG_11" localSheetId="6">GMIC_22A_SCDPT3!$M$255</definedName>
    <definedName name="SCDPT3_502BEGINNG_12" localSheetId="6">GMIC_22A_SCDPT3!$N$255</definedName>
    <definedName name="SCDPT3_502BEGINNG_13" localSheetId="6">GMIC_22A_SCDPT3!$O$255</definedName>
    <definedName name="SCDPT3_502BEGINNG_14" localSheetId="6">GMIC_22A_SCDPT3!$P$255</definedName>
    <definedName name="SCDPT3_502BEGINNG_15" localSheetId="6">GMIC_22A_SCDPT3!$Q$255</definedName>
    <definedName name="SCDPT3_502BEGINNG_2" localSheetId="6">GMIC_22A_SCDPT3!$D$255</definedName>
    <definedName name="SCDPT3_502BEGINNG_3" localSheetId="6">GMIC_22A_SCDPT3!$E$255</definedName>
    <definedName name="SCDPT3_502BEGINNG_4" localSheetId="6">GMIC_22A_SCDPT3!$F$255</definedName>
    <definedName name="SCDPT3_502BEGINNG_5" localSheetId="6">GMIC_22A_SCDPT3!$G$255</definedName>
    <definedName name="SCDPT3_502BEGINNG_6" localSheetId="6">GMIC_22A_SCDPT3!$H$255</definedName>
    <definedName name="SCDPT3_502BEGINNG_7" localSheetId="6">GMIC_22A_SCDPT3!$I$255</definedName>
    <definedName name="SCDPT3_502BEGINNG_8" localSheetId="6">GMIC_22A_SCDPT3!$J$255</definedName>
    <definedName name="SCDPT3_502BEGINNG_9" localSheetId="6">GMIC_22A_SCDPT3!$K$255</definedName>
    <definedName name="SCDPT3_502ENDINGG_10" localSheetId="6">GMIC_22A_SCDPT3!$L$257</definedName>
    <definedName name="SCDPT3_502ENDINGG_11" localSheetId="6">GMIC_22A_SCDPT3!$M$257</definedName>
    <definedName name="SCDPT3_502ENDINGG_12" localSheetId="6">GMIC_22A_SCDPT3!$N$257</definedName>
    <definedName name="SCDPT3_502ENDINGG_13" localSheetId="6">GMIC_22A_SCDPT3!$O$257</definedName>
    <definedName name="SCDPT3_502ENDINGG_14" localSheetId="6">GMIC_22A_SCDPT3!$P$257</definedName>
    <definedName name="SCDPT3_502ENDINGG_15" localSheetId="6">GMIC_22A_SCDPT3!$Q$257</definedName>
    <definedName name="SCDPT3_502ENDINGG_2" localSheetId="6">GMIC_22A_SCDPT3!$D$257</definedName>
    <definedName name="SCDPT3_502ENDINGG_3" localSheetId="6">GMIC_22A_SCDPT3!$E$257</definedName>
    <definedName name="SCDPT3_502ENDINGG_4" localSheetId="6">GMIC_22A_SCDPT3!$F$257</definedName>
    <definedName name="SCDPT3_502ENDINGG_5" localSheetId="6">GMIC_22A_SCDPT3!$G$257</definedName>
    <definedName name="SCDPT3_502ENDINGG_6" localSheetId="6">GMIC_22A_SCDPT3!$H$257</definedName>
    <definedName name="SCDPT3_502ENDINGG_7" localSheetId="6">GMIC_22A_SCDPT3!$I$257</definedName>
    <definedName name="SCDPT3_502ENDINGG_8" localSheetId="6">GMIC_22A_SCDPT3!$J$257</definedName>
    <definedName name="SCDPT3_502ENDINGG_9" localSheetId="6">GMIC_22A_SCDPT3!$K$257</definedName>
    <definedName name="SCDPT3_5310000000_Range" localSheetId="6">GMIC_22A_SCDPT3!$B$259:$Q$261</definedName>
    <definedName name="SCDPT3_5319999999_7" localSheetId="6">GMIC_22A_SCDPT3!$I$262</definedName>
    <definedName name="SCDPT3_5319999999_9" localSheetId="6">GMIC_22A_SCDPT3!$K$262</definedName>
    <definedName name="SCDPT3_531BEGINNG_1" localSheetId="6">GMIC_22A_SCDPT3!$C$259</definedName>
    <definedName name="SCDPT3_531BEGINNG_10" localSheetId="6">GMIC_22A_SCDPT3!$L$259</definedName>
    <definedName name="SCDPT3_531BEGINNG_11" localSheetId="6">GMIC_22A_SCDPT3!$M$259</definedName>
    <definedName name="SCDPT3_531BEGINNG_12" localSheetId="6">GMIC_22A_SCDPT3!$N$259</definedName>
    <definedName name="SCDPT3_531BEGINNG_13" localSheetId="6">GMIC_22A_SCDPT3!$O$259</definedName>
    <definedName name="SCDPT3_531BEGINNG_14" localSheetId="6">GMIC_22A_SCDPT3!$P$259</definedName>
    <definedName name="SCDPT3_531BEGINNG_15" localSheetId="6">GMIC_22A_SCDPT3!$Q$259</definedName>
    <definedName name="SCDPT3_531BEGINNG_2" localSheetId="6">GMIC_22A_SCDPT3!$D$259</definedName>
    <definedName name="SCDPT3_531BEGINNG_3" localSheetId="6">GMIC_22A_SCDPT3!$E$259</definedName>
    <definedName name="SCDPT3_531BEGINNG_4" localSheetId="6">GMIC_22A_SCDPT3!$F$259</definedName>
    <definedName name="SCDPT3_531BEGINNG_5" localSheetId="6">GMIC_22A_SCDPT3!$G$259</definedName>
    <definedName name="SCDPT3_531BEGINNG_6" localSheetId="6">GMIC_22A_SCDPT3!$H$259</definedName>
    <definedName name="SCDPT3_531BEGINNG_7" localSheetId="6">GMIC_22A_SCDPT3!$I$259</definedName>
    <definedName name="SCDPT3_531BEGINNG_8" localSheetId="6">GMIC_22A_SCDPT3!$J$259</definedName>
    <definedName name="SCDPT3_531BEGINNG_9" localSheetId="6">GMIC_22A_SCDPT3!$K$259</definedName>
    <definedName name="SCDPT3_531ENDINGG_10" localSheetId="6">GMIC_22A_SCDPT3!$L$261</definedName>
    <definedName name="SCDPT3_531ENDINGG_11" localSheetId="6">GMIC_22A_SCDPT3!$M$261</definedName>
    <definedName name="SCDPT3_531ENDINGG_12" localSheetId="6">GMIC_22A_SCDPT3!$N$261</definedName>
    <definedName name="SCDPT3_531ENDINGG_13" localSheetId="6">GMIC_22A_SCDPT3!$O$261</definedName>
    <definedName name="SCDPT3_531ENDINGG_14" localSheetId="6">GMIC_22A_SCDPT3!$P$261</definedName>
    <definedName name="SCDPT3_531ENDINGG_15" localSheetId="6">GMIC_22A_SCDPT3!$Q$261</definedName>
    <definedName name="SCDPT3_531ENDINGG_2" localSheetId="6">GMIC_22A_SCDPT3!$D$261</definedName>
    <definedName name="SCDPT3_531ENDINGG_3" localSheetId="6">GMIC_22A_SCDPT3!$E$261</definedName>
    <definedName name="SCDPT3_531ENDINGG_4" localSheetId="6">GMIC_22A_SCDPT3!$F$261</definedName>
    <definedName name="SCDPT3_531ENDINGG_5" localSheetId="6">GMIC_22A_SCDPT3!$G$261</definedName>
    <definedName name="SCDPT3_531ENDINGG_6" localSheetId="6">GMIC_22A_SCDPT3!$H$261</definedName>
    <definedName name="SCDPT3_531ENDINGG_7" localSheetId="6">GMIC_22A_SCDPT3!$I$261</definedName>
    <definedName name="SCDPT3_531ENDINGG_8" localSheetId="6">GMIC_22A_SCDPT3!$J$261</definedName>
    <definedName name="SCDPT3_531ENDINGG_9" localSheetId="6">GMIC_22A_SCDPT3!$K$261</definedName>
    <definedName name="SCDPT3_5320000000_Range" localSheetId="6">GMIC_22A_SCDPT3!$B$263:$Q$265</definedName>
    <definedName name="SCDPT3_5329999999_7" localSheetId="6">GMIC_22A_SCDPT3!$I$266</definedName>
    <definedName name="SCDPT3_5329999999_9" localSheetId="6">GMIC_22A_SCDPT3!$K$266</definedName>
    <definedName name="SCDPT3_532BEGINNG_1" localSheetId="6">GMIC_22A_SCDPT3!$C$263</definedName>
    <definedName name="SCDPT3_532BEGINNG_10" localSheetId="6">GMIC_22A_SCDPT3!$L$263</definedName>
    <definedName name="SCDPT3_532BEGINNG_11" localSheetId="6">GMIC_22A_SCDPT3!$M$263</definedName>
    <definedName name="SCDPT3_532BEGINNG_12" localSheetId="6">GMIC_22A_SCDPT3!$N$263</definedName>
    <definedName name="SCDPT3_532BEGINNG_13" localSheetId="6">GMIC_22A_SCDPT3!$O$263</definedName>
    <definedName name="SCDPT3_532BEGINNG_14" localSheetId="6">GMIC_22A_SCDPT3!$P$263</definedName>
    <definedName name="SCDPT3_532BEGINNG_15" localSheetId="6">GMIC_22A_SCDPT3!$Q$263</definedName>
    <definedName name="SCDPT3_532BEGINNG_2" localSheetId="6">GMIC_22A_SCDPT3!$D$263</definedName>
    <definedName name="SCDPT3_532BEGINNG_3" localSheetId="6">GMIC_22A_SCDPT3!$E$263</definedName>
    <definedName name="SCDPT3_532BEGINNG_4" localSheetId="6">GMIC_22A_SCDPT3!$F$263</definedName>
    <definedName name="SCDPT3_532BEGINNG_5" localSheetId="6">GMIC_22A_SCDPT3!$G$263</definedName>
    <definedName name="SCDPT3_532BEGINNG_6" localSheetId="6">GMIC_22A_SCDPT3!$H$263</definedName>
    <definedName name="SCDPT3_532BEGINNG_7" localSheetId="6">GMIC_22A_SCDPT3!$I$263</definedName>
    <definedName name="SCDPT3_532BEGINNG_8" localSheetId="6">GMIC_22A_SCDPT3!$J$263</definedName>
    <definedName name="SCDPT3_532BEGINNG_9" localSheetId="6">GMIC_22A_SCDPT3!$K$263</definedName>
    <definedName name="SCDPT3_532ENDINGG_10" localSheetId="6">GMIC_22A_SCDPT3!$L$265</definedName>
    <definedName name="SCDPT3_532ENDINGG_11" localSheetId="6">GMIC_22A_SCDPT3!$M$265</definedName>
    <definedName name="SCDPT3_532ENDINGG_12" localSheetId="6">GMIC_22A_SCDPT3!$N$265</definedName>
    <definedName name="SCDPT3_532ENDINGG_13" localSheetId="6">GMIC_22A_SCDPT3!$O$265</definedName>
    <definedName name="SCDPT3_532ENDINGG_14" localSheetId="6">GMIC_22A_SCDPT3!$P$265</definedName>
    <definedName name="SCDPT3_532ENDINGG_15" localSheetId="6">GMIC_22A_SCDPT3!$Q$265</definedName>
    <definedName name="SCDPT3_532ENDINGG_2" localSheetId="6">GMIC_22A_SCDPT3!$D$265</definedName>
    <definedName name="SCDPT3_532ENDINGG_3" localSheetId="6">GMIC_22A_SCDPT3!$E$265</definedName>
    <definedName name="SCDPT3_532ENDINGG_4" localSheetId="6">GMIC_22A_SCDPT3!$F$265</definedName>
    <definedName name="SCDPT3_532ENDINGG_5" localSheetId="6">GMIC_22A_SCDPT3!$G$265</definedName>
    <definedName name="SCDPT3_532ENDINGG_6" localSheetId="6">GMIC_22A_SCDPT3!$H$265</definedName>
    <definedName name="SCDPT3_532ENDINGG_7" localSheetId="6">GMIC_22A_SCDPT3!$I$265</definedName>
    <definedName name="SCDPT3_532ENDINGG_8" localSheetId="6">GMIC_22A_SCDPT3!$J$265</definedName>
    <definedName name="SCDPT3_532ENDINGG_9" localSheetId="6">GMIC_22A_SCDPT3!$K$265</definedName>
    <definedName name="SCDPT3_5510000000_Range" localSheetId="6">GMIC_22A_SCDPT3!$B$267:$Q$269</definedName>
    <definedName name="SCDPT3_5519999999_7" localSheetId="6">GMIC_22A_SCDPT3!$I$270</definedName>
    <definedName name="SCDPT3_5519999999_9" localSheetId="6">GMIC_22A_SCDPT3!$K$270</definedName>
    <definedName name="SCDPT3_551BEGINNG_1" localSheetId="6">GMIC_22A_SCDPT3!$C$267</definedName>
    <definedName name="SCDPT3_551BEGINNG_10" localSheetId="6">GMIC_22A_SCDPT3!$L$267</definedName>
    <definedName name="SCDPT3_551BEGINNG_11" localSheetId="6">GMIC_22A_SCDPT3!$M$267</definedName>
    <definedName name="SCDPT3_551BEGINNG_12" localSheetId="6">GMIC_22A_SCDPT3!$N$267</definedName>
    <definedName name="SCDPT3_551BEGINNG_13" localSheetId="6">GMIC_22A_SCDPT3!$O$267</definedName>
    <definedName name="SCDPT3_551BEGINNG_14" localSheetId="6">GMIC_22A_SCDPT3!$P$267</definedName>
    <definedName name="SCDPT3_551BEGINNG_15" localSheetId="6">GMIC_22A_SCDPT3!$Q$267</definedName>
    <definedName name="SCDPT3_551BEGINNG_2" localSheetId="6">GMIC_22A_SCDPT3!$D$267</definedName>
    <definedName name="SCDPT3_551BEGINNG_3" localSheetId="6">GMIC_22A_SCDPT3!$E$267</definedName>
    <definedName name="SCDPT3_551BEGINNG_4" localSheetId="6">GMIC_22A_SCDPT3!$F$267</definedName>
    <definedName name="SCDPT3_551BEGINNG_5" localSheetId="6">GMIC_22A_SCDPT3!$G$267</definedName>
    <definedName name="SCDPT3_551BEGINNG_6" localSheetId="6">GMIC_22A_SCDPT3!$H$267</definedName>
    <definedName name="SCDPT3_551BEGINNG_7" localSheetId="6">GMIC_22A_SCDPT3!$I$267</definedName>
    <definedName name="SCDPT3_551BEGINNG_8" localSheetId="6">GMIC_22A_SCDPT3!$J$267</definedName>
    <definedName name="SCDPT3_551BEGINNG_9" localSheetId="6">GMIC_22A_SCDPT3!$K$267</definedName>
    <definedName name="SCDPT3_551ENDINGG_10" localSheetId="6">GMIC_22A_SCDPT3!$L$269</definedName>
    <definedName name="SCDPT3_551ENDINGG_11" localSheetId="6">GMIC_22A_SCDPT3!$M$269</definedName>
    <definedName name="SCDPT3_551ENDINGG_12" localSheetId="6">GMIC_22A_SCDPT3!$N$269</definedName>
    <definedName name="SCDPT3_551ENDINGG_13" localSheetId="6">GMIC_22A_SCDPT3!$O$269</definedName>
    <definedName name="SCDPT3_551ENDINGG_14" localSheetId="6">GMIC_22A_SCDPT3!$P$269</definedName>
    <definedName name="SCDPT3_551ENDINGG_15" localSheetId="6">GMIC_22A_SCDPT3!$Q$269</definedName>
    <definedName name="SCDPT3_551ENDINGG_2" localSheetId="6">GMIC_22A_SCDPT3!$D$269</definedName>
    <definedName name="SCDPT3_551ENDINGG_3" localSheetId="6">GMIC_22A_SCDPT3!$E$269</definedName>
    <definedName name="SCDPT3_551ENDINGG_4" localSheetId="6">GMIC_22A_SCDPT3!$F$269</definedName>
    <definedName name="SCDPT3_551ENDINGG_5" localSheetId="6">GMIC_22A_SCDPT3!$G$269</definedName>
    <definedName name="SCDPT3_551ENDINGG_6" localSheetId="6">GMIC_22A_SCDPT3!$H$269</definedName>
    <definedName name="SCDPT3_551ENDINGG_7" localSheetId="6">GMIC_22A_SCDPT3!$I$269</definedName>
    <definedName name="SCDPT3_551ENDINGG_8" localSheetId="6">GMIC_22A_SCDPT3!$J$269</definedName>
    <definedName name="SCDPT3_551ENDINGG_9" localSheetId="6">GMIC_22A_SCDPT3!$K$269</definedName>
    <definedName name="SCDPT3_5520000000_Range" localSheetId="6">GMIC_22A_SCDPT3!$B$271:$Q$273</definedName>
    <definedName name="SCDPT3_5529999999_7" localSheetId="6">GMIC_22A_SCDPT3!$I$274</definedName>
    <definedName name="SCDPT3_5529999999_9" localSheetId="6">GMIC_22A_SCDPT3!$K$274</definedName>
    <definedName name="SCDPT3_552BEGINNG_1" localSheetId="6">GMIC_22A_SCDPT3!$C$271</definedName>
    <definedName name="SCDPT3_552BEGINNG_10" localSheetId="6">GMIC_22A_SCDPT3!$L$271</definedName>
    <definedName name="SCDPT3_552BEGINNG_11" localSheetId="6">GMIC_22A_SCDPT3!$M$271</definedName>
    <definedName name="SCDPT3_552BEGINNG_12" localSheetId="6">GMIC_22A_SCDPT3!$N$271</definedName>
    <definedName name="SCDPT3_552BEGINNG_13" localSheetId="6">GMIC_22A_SCDPT3!$O$271</definedName>
    <definedName name="SCDPT3_552BEGINNG_14" localSheetId="6">GMIC_22A_SCDPT3!$P$271</definedName>
    <definedName name="SCDPT3_552BEGINNG_15" localSheetId="6">GMIC_22A_SCDPT3!$Q$271</definedName>
    <definedName name="SCDPT3_552BEGINNG_2" localSheetId="6">GMIC_22A_SCDPT3!$D$271</definedName>
    <definedName name="SCDPT3_552BEGINNG_3" localSheetId="6">GMIC_22A_SCDPT3!$E$271</definedName>
    <definedName name="SCDPT3_552BEGINNG_4" localSheetId="6">GMIC_22A_SCDPT3!$F$271</definedName>
    <definedName name="SCDPT3_552BEGINNG_5" localSheetId="6">GMIC_22A_SCDPT3!$G$271</definedName>
    <definedName name="SCDPT3_552BEGINNG_6" localSheetId="6">GMIC_22A_SCDPT3!$H$271</definedName>
    <definedName name="SCDPT3_552BEGINNG_7" localSheetId="6">GMIC_22A_SCDPT3!$I$271</definedName>
    <definedName name="SCDPT3_552BEGINNG_8" localSheetId="6">GMIC_22A_SCDPT3!$J$271</definedName>
    <definedName name="SCDPT3_552BEGINNG_9" localSheetId="6">GMIC_22A_SCDPT3!$K$271</definedName>
    <definedName name="SCDPT3_552ENDINGG_10" localSheetId="6">GMIC_22A_SCDPT3!$L$273</definedName>
    <definedName name="SCDPT3_552ENDINGG_11" localSheetId="6">GMIC_22A_SCDPT3!$M$273</definedName>
    <definedName name="SCDPT3_552ENDINGG_12" localSheetId="6">GMIC_22A_SCDPT3!$N$273</definedName>
    <definedName name="SCDPT3_552ENDINGG_13" localSheetId="6">GMIC_22A_SCDPT3!$O$273</definedName>
    <definedName name="SCDPT3_552ENDINGG_14" localSheetId="6">GMIC_22A_SCDPT3!$P$273</definedName>
    <definedName name="SCDPT3_552ENDINGG_15" localSheetId="6">GMIC_22A_SCDPT3!$Q$273</definedName>
    <definedName name="SCDPT3_552ENDINGG_2" localSheetId="6">GMIC_22A_SCDPT3!$D$273</definedName>
    <definedName name="SCDPT3_552ENDINGG_3" localSheetId="6">GMIC_22A_SCDPT3!$E$273</definedName>
    <definedName name="SCDPT3_552ENDINGG_4" localSheetId="6">GMIC_22A_SCDPT3!$F$273</definedName>
    <definedName name="SCDPT3_552ENDINGG_5" localSheetId="6">GMIC_22A_SCDPT3!$G$273</definedName>
    <definedName name="SCDPT3_552ENDINGG_6" localSheetId="6">GMIC_22A_SCDPT3!$H$273</definedName>
    <definedName name="SCDPT3_552ENDINGG_7" localSheetId="6">GMIC_22A_SCDPT3!$I$273</definedName>
    <definedName name="SCDPT3_552ENDINGG_8" localSheetId="6">GMIC_22A_SCDPT3!$J$273</definedName>
    <definedName name="SCDPT3_552ENDINGG_9" localSheetId="6">GMIC_22A_SCDPT3!$K$273</definedName>
    <definedName name="SCDPT3_5710000000_Range" localSheetId="6">GMIC_22A_SCDPT3!$B$275:$Q$277</definedName>
    <definedName name="SCDPT3_5719999999_7" localSheetId="6">GMIC_22A_SCDPT3!$I$278</definedName>
    <definedName name="SCDPT3_5719999999_9" localSheetId="6">GMIC_22A_SCDPT3!$K$278</definedName>
    <definedName name="SCDPT3_571BEGINNG_1" localSheetId="6">GMIC_22A_SCDPT3!$C$275</definedName>
    <definedName name="SCDPT3_571BEGINNG_10" localSheetId="6">GMIC_22A_SCDPT3!$L$275</definedName>
    <definedName name="SCDPT3_571BEGINNG_11" localSheetId="6">GMIC_22A_SCDPT3!$M$275</definedName>
    <definedName name="SCDPT3_571BEGINNG_12" localSheetId="6">GMIC_22A_SCDPT3!$N$275</definedName>
    <definedName name="SCDPT3_571BEGINNG_13" localSheetId="6">GMIC_22A_SCDPT3!$O$275</definedName>
    <definedName name="SCDPT3_571BEGINNG_14" localSheetId="6">GMIC_22A_SCDPT3!$P$275</definedName>
    <definedName name="SCDPT3_571BEGINNG_15" localSheetId="6">GMIC_22A_SCDPT3!$Q$275</definedName>
    <definedName name="SCDPT3_571BEGINNG_2" localSheetId="6">GMIC_22A_SCDPT3!$D$275</definedName>
    <definedName name="SCDPT3_571BEGINNG_3" localSheetId="6">GMIC_22A_SCDPT3!$E$275</definedName>
    <definedName name="SCDPT3_571BEGINNG_4" localSheetId="6">GMIC_22A_SCDPT3!$F$275</definedName>
    <definedName name="SCDPT3_571BEGINNG_5" localSheetId="6">GMIC_22A_SCDPT3!$G$275</definedName>
    <definedName name="SCDPT3_571BEGINNG_6" localSheetId="6">GMIC_22A_SCDPT3!$H$275</definedName>
    <definedName name="SCDPT3_571BEGINNG_7" localSheetId="6">GMIC_22A_SCDPT3!$I$275</definedName>
    <definedName name="SCDPT3_571BEGINNG_8" localSheetId="6">GMIC_22A_SCDPT3!$J$275</definedName>
    <definedName name="SCDPT3_571BEGINNG_9" localSheetId="6">GMIC_22A_SCDPT3!$K$275</definedName>
    <definedName name="SCDPT3_571ENDINGG_10" localSheetId="6">GMIC_22A_SCDPT3!$L$277</definedName>
    <definedName name="SCDPT3_571ENDINGG_11" localSheetId="6">GMIC_22A_SCDPT3!$M$277</definedName>
    <definedName name="SCDPT3_571ENDINGG_12" localSheetId="6">GMIC_22A_SCDPT3!$N$277</definedName>
    <definedName name="SCDPT3_571ENDINGG_13" localSheetId="6">GMIC_22A_SCDPT3!$O$277</definedName>
    <definedName name="SCDPT3_571ENDINGG_14" localSheetId="6">GMIC_22A_SCDPT3!$P$277</definedName>
    <definedName name="SCDPT3_571ENDINGG_15" localSheetId="6">GMIC_22A_SCDPT3!$Q$277</definedName>
    <definedName name="SCDPT3_571ENDINGG_2" localSheetId="6">GMIC_22A_SCDPT3!$D$277</definedName>
    <definedName name="SCDPT3_571ENDINGG_3" localSheetId="6">GMIC_22A_SCDPT3!$E$277</definedName>
    <definedName name="SCDPT3_571ENDINGG_4" localSheetId="6">GMIC_22A_SCDPT3!$F$277</definedName>
    <definedName name="SCDPT3_571ENDINGG_5" localSheetId="6">GMIC_22A_SCDPT3!$G$277</definedName>
    <definedName name="SCDPT3_571ENDINGG_6" localSheetId="6">GMIC_22A_SCDPT3!$H$277</definedName>
    <definedName name="SCDPT3_571ENDINGG_7" localSheetId="6">GMIC_22A_SCDPT3!$I$277</definedName>
    <definedName name="SCDPT3_571ENDINGG_8" localSheetId="6">GMIC_22A_SCDPT3!$J$277</definedName>
    <definedName name="SCDPT3_571ENDINGG_9" localSheetId="6">GMIC_22A_SCDPT3!$K$277</definedName>
    <definedName name="SCDPT3_5720000000_Range" localSheetId="6">GMIC_22A_SCDPT3!$B$279:$Q$281</definedName>
    <definedName name="SCDPT3_5729999999_7" localSheetId="6">GMIC_22A_SCDPT3!$I$282</definedName>
    <definedName name="SCDPT3_5729999999_9" localSheetId="6">GMIC_22A_SCDPT3!$K$282</definedName>
    <definedName name="SCDPT3_572BEGINNG_1" localSheetId="6">GMIC_22A_SCDPT3!$C$279</definedName>
    <definedName name="SCDPT3_572BEGINNG_10" localSheetId="6">GMIC_22A_SCDPT3!$L$279</definedName>
    <definedName name="SCDPT3_572BEGINNG_11" localSheetId="6">GMIC_22A_SCDPT3!$M$279</definedName>
    <definedName name="SCDPT3_572BEGINNG_12" localSheetId="6">GMIC_22A_SCDPT3!$N$279</definedName>
    <definedName name="SCDPT3_572BEGINNG_13" localSheetId="6">GMIC_22A_SCDPT3!$O$279</definedName>
    <definedName name="SCDPT3_572BEGINNG_14" localSheetId="6">GMIC_22A_SCDPT3!$P$279</definedName>
    <definedName name="SCDPT3_572BEGINNG_15" localSheetId="6">GMIC_22A_SCDPT3!$Q$279</definedName>
    <definedName name="SCDPT3_572BEGINNG_2" localSheetId="6">GMIC_22A_SCDPT3!$D$279</definedName>
    <definedName name="SCDPT3_572BEGINNG_3" localSheetId="6">GMIC_22A_SCDPT3!$E$279</definedName>
    <definedName name="SCDPT3_572BEGINNG_4" localSheetId="6">GMIC_22A_SCDPT3!$F$279</definedName>
    <definedName name="SCDPT3_572BEGINNG_5" localSheetId="6">GMIC_22A_SCDPT3!$G$279</definedName>
    <definedName name="SCDPT3_572BEGINNG_6" localSheetId="6">GMIC_22A_SCDPT3!$H$279</definedName>
    <definedName name="SCDPT3_572BEGINNG_7" localSheetId="6">GMIC_22A_SCDPT3!$I$279</definedName>
    <definedName name="SCDPT3_572BEGINNG_8" localSheetId="6">GMIC_22A_SCDPT3!$J$279</definedName>
    <definedName name="SCDPT3_572BEGINNG_9" localSheetId="6">GMIC_22A_SCDPT3!$K$279</definedName>
    <definedName name="SCDPT3_572ENDINGG_10" localSheetId="6">GMIC_22A_SCDPT3!$L$281</definedName>
    <definedName name="SCDPT3_572ENDINGG_11" localSheetId="6">GMIC_22A_SCDPT3!$M$281</definedName>
    <definedName name="SCDPT3_572ENDINGG_12" localSheetId="6">GMIC_22A_SCDPT3!$N$281</definedName>
    <definedName name="SCDPT3_572ENDINGG_13" localSheetId="6">GMIC_22A_SCDPT3!$O$281</definedName>
    <definedName name="SCDPT3_572ENDINGG_14" localSheetId="6">GMIC_22A_SCDPT3!$P$281</definedName>
    <definedName name="SCDPT3_572ENDINGG_15" localSheetId="6">GMIC_22A_SCDPT3!$Q$281</definedName>
    <definedName name="SCDPT3_572ENDINGG_2" localSheetId="6">GMIC_22A_SCDPT3!$D$281</definedName>
    <definedName name="SCDPT3_572ENDINGG_3" localSheetId="6">GMIC_22A_SCDPT3!$E$281</definedName>
    <definedName name="SCDPT3_572ENDINGG_4" localSheetId="6">GMIC_22A_SCDPT3!$F$281</definedName>
    <definedName name="SCDPT3_572ENDINGG_5" localSheetId="6">GMIC_22A_SCDPT3!$G$281</definedName>
    <definedName name="SCDPT3_572ENDINGG_6" localSheetId="6">GMIC_22A_SCDPT3!$H$281</definedName>
    <definedName name="SCDPT3_572ENDINGG_7" localSheetId="6">GMIC_22A_SCDPT3!$I$281</definedName>
    <definedName name="SCDPT3_572ENDINGG_8" localSheetId="6">GMIC_22A_SCDPT3!$J$281</definedName>
    <definedName name="SCDPT3_572ENDINGG_9" localSheetId="6">GMIC_22A_SCDPT3!$K$281</definedName>
    <definedName name="SCDPT3_5810000000_Range" localSheetId="6">GMIC_22A_SCDPT3!$B$283:$Q$285</definedName>
    <definedName name="SCDPT3_5819999999_7" localSheetId="6">GMIC_22A_SCDPT3!$I$286</definedName>
    <definedName name="SCDPT3_5819999999_9" localSheetId="6">GMIC_22A_SCDPT3!$K$286</definedName>
    <definedName name="SCDPT3_581BEGINNG_1" localSheetId="6">GMIC_22A_SCDPT3!$C$283</definedName>
    <definedName name="SCDPT3_581BEGINNG_10" localSheetId="6">GMIC_22A_SCDPT3!$L$283</definedName>
    <definedName name="SCDPT3_581BEGINNG_11" localSheetId="6">GMIC_22A_SCDPT3!$M$283</definedName>
    <definedName name="SCDPT3_581BEGINNG_12" localSheetId="6">GMIC_22A_SCDPT3!$N$283</definedName>
    <definedName name="SCDPT3_581BEGINNG_13" localSheetId="6">GMIC_22A_SCDPT3!$O$283</definedName>
    <definedName name="SCDPT3_581BEGINNG_14" localSheetId="6">GMIC_22A_SCDPT3!$P$283</definedName>
    <definedName name="SCDPT3_581BEGINNG_15" localSheetId="6">GMIC_22A_SCDPT3!$Q$283</definedName>
    <definedName name="SCDPT3_581BEGINNG_2" localSheetId="6">GMIC_22A_SCDPT3!$D$283</definedName>
    <definedName name="SCDPT3_581BEGINNG_3" localSheetId="6">GMIC_22A_SCDPT3!$E$283</definedName>
    <definedName name="SCDPT3_581BEGINNG_4" localSheetId="6">GMIC_22A_SCDPT3!$F$283</definedName>
    <definedName name="SCDPT3_581BEGINNG_5" localSheetId="6">GMIC_22A_SCDPT3!$G$283</definedName>
    <definedName name="SCDPT3_581BEGINNG_6" localSheetId="6">GMIC_22A_SCDPT3!$H$283</definedName>
    <definedName name="SCDPT3_581BEGINNG_7" localSheetId="6">GMIC_22A_SCDPT3!$I$283</definedName>
    <definedName name="SCDPT3_581BEGINNG_8" localSheetId="6">GMIC_22A_SCDPT3!$J$283</definedName>
    <definedName name="SCDPT3_581BEGINNG_9" localSheetId="6">GMIC_22A_SCDPT3!$K$283</definedName>
    <definedName name="SCDPT3_581ENDINGG_10" localSheetId="6">GMIC_22A_SCDPT3!$L$285</definedName>
    <definedName name="SCDPT3_581ENDINGG_11" localSheetId="6">GMIC_22A_SCDPT3!$M$285</definedName>
    <definedName name="SCDPT3_581ENDINGG_12" localSheetId="6">GMIC_22A_SCDPT3!$N$285</definedName>
    <definedName name="SCDPT3_581ENDINGG_13" localSheetId="6">GMIC_22A_SCDPT3!$O$285</definedName>
    <definedName name="SCDPT3_581ENDINGG_14" localSheetId="6">GMIC_22A_SCDPT3!$P$285</definedName>
    <definedName name="SCDPT3_581ENDINGG_15" localSheetId="6">GMIC_22A_SCDPT3!$Q$285</definedName>
    <definedName name="SCDPT3_581ENDINGG_2" localSheetId="6">GMIC_22A_SCDPT3!$D$285</definedName>
    <definedName name="SCDPT3_581ENDINGG_3" localSheetId="6">GMIC_22A_SCDPT3!$E$285</definedName>
    <definedName name="SCDPT3_581ENDINGG_4" localSheetId="6">GMIC_22A_SCDPT3!$F$285</definedName>
    <definedName name="SCDPT3_581ENDINGG_5" localSheetId="6">GMIC_22A_SCDPT3!$G$285</definedName>
    <definedName name="SCDPT3_581ENDINGG_6" localSheetId="6">GMIC_22A_SCDPT3!$H$285</definedName>
    <definedName name="SCDPT3_581ENDINGG_7" localSheetId="6">GMIC_22A_SCDPT3!$I$285</definedName>
    <definedName name="SCDPT3_581ENDINGG_8" localSheetId="6">GMIC_22A_SCDPT3!$J$285</definedName>
    <definedName name="SCDPT3_581ENDINGG_9" localSheetId="6">GMIC_22A_SCDPT3!$K$285</definedName>
    <definedName name="SCDPT3_5910000000_Range" localSheetId="6">GMIC_22A_SCDPT3!$B$287:$Q$289</definedName>
    <definedName name="SCDPT3_5919999999_7" localSheetId="6">GMIC_22A_SCDPT3!$I$290</definedName>
    <definedName name="SCDPT3_5919999999_9" localSheetId="6">GMIC_22A_SCDPT3!$K$290</definedName>
    <definedName name="SCDPT3_591BEGINNG_1" localSheetId="6">GMIC_22A_SCDPT3!$C$287</definedName>
    <definedName name="SCDPT3_591BEGINNG_10" localSheetId="6">GMIC_22A_SCDPT3!$L$287</definedName>
    <definedName name="SCDPT3_591BEGINNG_11" localSheetId="6">GMIC_22A_SCDPT3!$M$287</definedName>
    <definedName name="SCDPT3_591BEGINNG_12" localSheetId="6">GMIC_22A_SCDPT3!$N$287</definedName>
    <definedName name="SCDPT3_591BEGINNG_13" localSheetId="6">GMIC_22A_SCDPT3!$O$287</definedName>
    <definedName name="SCDPT3_591BEGINNG_14" localSheetId="6">GMIC_22A_SCDPT3!$P$287</definedName>
    <definedName name="SCDPT3_591BEGINNG_15" localSheetId="6">GMIC_22A_SCDPT3!$Q$287</definedName>
    <definedName name="SCDPT3_591BEGINNG_2" localSheetId="6">GMIC_22A_SCDPT3!$D$287</definedName>
    <definedName name="SCDPT3_591BEGINNG_3" localSheetId="6">GMIC_22A_SCDPT3!$E$287</definedName>
    <definedName name="SCDPT3_591BEGINNG_4" localSheetId="6">GMIC_22A_SCDPT3!$F$287</definedName>
    <definedName name="SCDPT3_591BEGINNG_5" localSheetId="6">GMIC_22A_SCDPT3!$G$287</definedName>
    <definedName name="SCDPT3_591BEGINNG_6" localSheetId="6">GMIC_22A_SCDPT3!$H$287</definedName>
    <definedName name="SCDPT3_591BEGINNG_7" localSheetId="6">GMIC_22A_SCDPT3!$I$287</definedName>
    <definedName name="SCDPT3_591BEGINNG_8" localSheetId="6">GMIC_22A_SCDPT3!$J$287</definedName>
    <definedName name="SCDPT3_591BEGINNG_9" localSheetId="6">GMIC_22A_SCDPT3!$K$287</definedName>
    <definedName name="SCDPT3_591ENDINGG_10" localSheetId="6">GMIC_22A_SCDPT3!$L$289</definedName>
    <definedName name="SCDPT3_591ENDINGG_11" localSheetId="6">GMIC_22A_SCDPT3!$M$289</definedName>
    <definedName name="SCDPT3_591ENDINGG_12" localSheetId="6">GMIC_22A_SCDPT3!$N$289</definedName>
    <definedName name="SCDPT3_591ENDINGG_13" localSheetId="6">GMIC_22A_SCDPT3!$O$289</definedName>
    <definedName name="SCDPT3_591ENDINGG_14" localSheetId="6">GMIC_22A_SCDPT3!$P$289</definedName>
    <definedName name="SCDPT3_591ENDINGG_15" localSheetId="6">GMIC_22A_SCDPT3!$Q$289</definedName>
    <definedName name="SCDPT3_591ENDINGG_2" localSheetId="6">GMIC_22A_SCDPT3!$D$289</definedName>
    <definedName name="SCDPT3_591ENDINGG_3" localSheetId="6">GMIC_22A_SCDPT3!$E$289</definedName>
    <definedName name="SCDPT3_591ENDINGG_4" localSheetId="6">GMIC_22A_SCDPT3!$F$289</definedName>
    <definedName name="SCDPT3_591ENDINGG_5" localSheetId="6">GMIC_22A_SCDPT3!$G$289</definedName>
    <definedName name="SCDPT3_591ENDINGG_6" localSheetId="6">GMIC_22A_SCDPT3!$H$289</definedName>
    <definedName name="SCDPT3_591ENDINGG_7" localSheetId="6">GMIC_22A_SCDPT3!$I$289</definedName>
    <definedName name="SCDPT3_591ENDINGG_8" localSheetId="6">GMIC_22A_SCDPT3!$J$289</definedName>
    <definedName name="SCDPT3_591ENDINGG_9" localSheetId="6">GMIC_22A_SCDPT3!$K$289</definedName>
    <definedName name="SCDPT3_5920000000_Range" localSheetId="6">GMIC_22A_SCDPT3!$B$291:$Q$293</definedName>
    <definedName name="SCDPT3_5929999999_7" localSheetId="6">GMIC_22A_SCDPT3!$I$294</definedName>
    <definedName name="SCDPT3_5929999999_9" localSheetId="6">GMIC_22A_SCDPT3!$K$294</definedName>
    <definedName name="SCDPT3_592BEGINNG_1" localSheetId="6">GMIC_22A_SCDPT3!$C$291</definedName>
    <definedName name="SCDPT3_592BEGINNG_10" localSheetId="6">GMIC_22A_SCDPT3!$L$291</definedName>
    <definedName name="SCDPT3_592BEGINNG_11" localSheetId="6">GMIC_22A_SCDPT3!$M$291</definedName>
    <definedName name="SCDPT3_592BEGINNG_12" localSheetId="6">GMIC_22A_SCDPT3!$N$291</definedName>
    <definedName name="SCDPT3_592BEGINNG_13" localSheetId="6">GMIC_22A_SCDPT3!$O$291</definedName>
    <definedName name="SCDPT3_592BEGINNG_14" localSheetId="6">GMIC_22A_SCDPT3!$P$291</definedName>
    <definedName name="SCDPT3_592BEGINNG_15" localSheetId="6">GMIC_22A_SCDPT3!$Q$291</definedName>
    <definedName name="SCDPT3_592BEGINNG_2" localSheetId="6">GMIC_22A_SCDPT3!$D$291</definedName>
    <definedName name="SCDPT3_592BEGINNG_3" localSheetId="6">GMIC_22A_SCDPT3!$E$291</definedName>
    <definedName name="SCDPT3_592BEGINNG_4" localSheetId="6">GMIC_22A_SCDPT3!$F$291</definedName>
    <definedName name="SCDPT3_592BEGINNG_5" localSheetId="6">GMIC_22A_SCDPT3!$G$291</definedName>
    <definedName name="SCDPT3_592BEGINNG_6" localSheetId="6">GMIC_22A_SCDPT3!$H$291</definedName>
    <definedName name="SCDPT3_592BEGINNG_7" localSheetId="6">GMIC_22A_SCDPT3!$I$291</definedName>
    <definedName name="SCDPT3_592BEGINNG_8" localSheetId="6">GMIC_22A_SCDPT3!$J$291</definedName>
    <definedName name="SCDPT3_592BEGINNG_9" localSheetId="6">GMIC_22A_SCDPT3!$K$291</definedName>
    <definedName name="SCDPT3_592ENDINGG_10" localSheetId="6">GMIC_22A_SCDPT3!$L$293</definedName>
    <definedName name="SCDPT3_592ENDINGG_11" localSheetId="6">GMIC_22A_SCDPT3!$M$293</definedName>
    <definedName name="SCDPT3_592ENDINGG_12" localSheetId="6">GMIC_22A_SCDPT3!$N$293</definedName>
    <definedName name="SCDPT3_592ENDINGG_13" localSheetId="6">GMIC_22A_SCDPT3!$O$293</definedName>
    <definedName name="SCDPT3_592ENDINGG_14" localSheetId="6">GMIC_22A_SCDPT3!$P$293</definedName>
    <definedName name="SCDPT3_592ENDINGG_15" localSheetId="6">GMIC_22A_SCDPT3!$Q$293</definedName>
    <definedName name="SCDPT3_592ENDINGG_2" localSheetId="6">GMIC_22A_SCDPT3!$D$293</definedName>
    <definedName name="SCDPT3_592ENDINGG_3" localSheetId="6">GMIC_22A_SCDPT3!$E$293</definedName>
    <definedName name="SCDPT3_592ENDINGG_4" localSheetId="6">GMIC_22A_SCDPT3!$F$293</definedName>
    <definedName name="SCDPT3_592ENDINGG_5" localSheetId="6">GMIC_22A_SCDPT3!$G$293</definedName>
    <definedName name="SCDPT3_592ENDINGG_6" localSheetId="6">GMIC_22A_SCDPT3!$H$293</definedName>
    <definedName name="SCDPT3_592ENDINGG_7" localSheetId="6">GMIC_22A_SCDPT3!$I$293</definedName>
    <definedName name="SCDPT3_592ENDINGG_8" localSheetId="6">GMIC_22A_SCDPT3!$J$293</definedName>
    <definedName name="SCDPT3_592ENDINGG_9" localSheetId="6">GMIC_22A_SCDPT3!$K$293</definedName>
    <definedName name="SCDPT3_5989999997_7" localSheetId="6">GMIC_22A_SCDPT3!$I$295</definedName>
    <definedName name="SCDPT3_5989999997_9" localSheetId="6">GMIC_22A_SCDPT3!$K$295</definedName>
    <definedName name="SCDPT3_5989999998_7" localSheetId="6">GMIC_22A_SCDPT3!$I$296</definedName>
    <definedName name="SCDPT3_5989999998_9" localSheetId="6">GMIC_22A_SCDPT3!$K$296</definedName>
    <definedName name="SCDPT3_5989999999_7" localSheetId="6">GMIC_22A_SCDPT3!$I$297</definedName>
    <definedName name="SCDPT3_5989999999_9" localSheetId="6">GMIC_22A_SCDPT3!$K$297</definedName>
    <definedName name="SCDPT3_5999999999_7" localSheetId="6">GMIC_22A_SCDPT3!$I$298</definedName>
    <definedName name="SCDPT3_5999999999_9" localSheetId="6">GMIC_22A_SCDPT3!$K$298</definedName>
    <definedName name="SCDPT3_6009999999_7" localSheetId="6">GMIC_22A_SCDPT3!$I$299</definedName>
    <definedName name="SCDPT3_6009999999_9" localSheetId="6">GMIC_22A_SCDPT3!$K$299</definedName>
    <definedName name="SCDPT4_0100000000_Range" localSheetId="7">GMIC_22A_SCDPT4!$B$7:$AC$10</definedName>
    <definedName name="SCDPT4_0100000001_1" localSheetId="7">GMIC_22A_SCDPT4!$C$8</definedName>
    <definedName name="SCDPT4_0100000001_10" localSheetId="7">GMIC_22A_SCDPT4!$L$8</definedName>
    <definedName name="SCDPT4_0100000001_11" localSheetId="7">GMIC_22A_SCDPT4!$M$8</definedName>
    <definedName name="SCDPT4_0100000001_12" localSheetId="7">GMIC_22A_SCDPT4!$N$8</definedName>
    <definedName name="SCDPT4_0100000001_13" localSheetId="7">GMIC_22A_SCDPT4!$O$8</definedName>
    <definedName name="SCDPT4_0100000001_14" localSheetId="7">GMIC_22A_SCDPT4!$P$8</definedName>
    <definedName name="SCDPT4_0100000001_15" localSheetId="7">GMIC_22A_SCDPT4!$Q$8</definedName>
    <definedName name="SCDPT4_0100000001_16" localSheetId="7">GMIC_22A_SCDPT4!$R$8</definedName>
    <definedName name="SCDPT4_0100000001_17" localSheetId="7">GMIC_22A_SCDPT4!$S$8</definedName>
    <definedName name="SCDPT4_0100000001_18" localSheetId="7">GMIC_22A_SCDPT4!$T$8</definedName>
    <definedName name="SCDPT4_0100000001_19" localSheetId="7">GMIC_22A_SCDPT4!$U$8</definedName>
    <definedName name="SCDPT4_0100000001_2" localSheetId="7">GMIC_22A_SCDPT4!$D$8</definedName>
    <definedName name="SCDPT4_0100000001_20" localSheetId="7">GMIC_22A_SCDPT4!$V$8</definedName>
    <definedName name="SCDPT4_0100000001_21" localSheetId="7">GMIC_22A_SCDPT4!$W$8</definedName>
    <definedName name="SCDPT4_0100000001_23" localSheetId="7">GMIC_22A_SCDPT4!$Y$8</definedName>
    <definedName name="SCDPT4_0100000001_24" localSheetId="7">GMIC_22A_SCDPT4!$Z$8</definedName>
    <definedName name="SCDPT4_0100000001_25" localSheetId="7">GMIC_22A_SCDPT4!$AA$8</definedName>
    <definedName name="SCDPT4_0100000001_26" localSheetId="7">GMIC_22A_SCDPT4!$AB$8</definedName>
    <definedName name="SCDPT4_0100000001_27" localSheetId="7">GMIC_22A_SCDPT4!$AC$8</definedName>
    <definedName name="SCDPT4_0100000001_3" localSheetId="7">GMIC_22A_SCDPT4!$E$8</definedName>
    <definedName name="SCDPT4_0100000001_4" localSheetId="7">GMIC_22A_SCDPT4!$F$8</definedName>
    <definedName name="SCDPT4_0100000001_5" localSheetId="7">GMIC_22A_SCDPT4!$G$8</definedName>
    <definedName name="SCDPT4_0100000001_7" localSheetId="7">GMIC_22A_SCDPT4!$I$8</definedName>
    <definedName name="SCDPT4_0100000001_8" localSheetId="7">GMIC_22A_SCDPT4!$J$8</definedName>
    <definedName name="SCDPT4_0100000001_9" localSheetId="7">GMIC_22A_SCDPT4!$K$8</definedName>
    <definedName name="SCDPT4_0109999999_10" localSheetId="7">GMIC_22A_SCDPT4!$L$11</definedName>
    <definedName name="SCDPT4_0109999999_11" localSheetId="7">GMIC_22A_SCDPT4!$M$11</definedName>
    <definedName name="SCDPT4_0109999999_12" localSheetId="7">GMIC_22A_SCDPT4!$N$11</definedName>
    <definedName name="SCDPT4_0109999999_13" localSheetId="7">GMIC_22A_SCDPT4!$O$11</definedName>
    <definedName name="SCDPT4_0109999999_14" localSheetId="7">GMIC_22A_SCDPT4!$P$11</definedName>
    <definedName name="SCDPT4_0109999999_15" localSheetId="7">GMIC_22A_SCDPT4!$Q$11</definedName>
    <definedName name="SCDPT4_0109999999_16" localSheetId="7">GMIC_22A_SCDPT4!$R$11</definedName>
    <definedName name="SCDPT4_0109999999_17" localSheetId="7">GMIC_22A_SCDPT4!$S$11</definedName>
    <definedName name="SCDPT4_0109999999_18" localSheetId="7">GMIC_22A_SCDPT4!$T$11</definedName>
    <definedName name="SCDPT4_0109999999_19" localSheetId="7">GMIC_22A_SCDPT4!$U$11</definedName>
    <definedName name="SCDPT4_0109999999_20" localSheetId="7">GMIC_22A_SCDPT4!$V$11</definedName>
    <definedName name="SCDPT4_0109999999_7" localSheetId="7">GMIC_22A_SCDPT4!$I$11</definedName>
    <definedName name="SCDPT4_0109999999_8" localSheetId="7">GMIC_22A_SCDPT4!$J$11</definedName>
    <definedName name="SCDPT4_0109999999_9" localSheetId="7">GMIC_22A_SCDPT4!$K$11</definedName>
    <definedName name="SCDPT4_010BEGINNG_1" localSheetId="7">GMIC_22A_SCDPT4!$C$7</definedName>
    <definedName name="SCDPT4_010BEGINNG_10" localSheetId="7">GMIC_22A_SCDPT4!$L$7</definedName>
    <definedName name="SCDPT4_010BEGINNG_11" localSheetId="7">GMIC_22A_SCDPT4!$M$7</definedName>
    <definedName name="SCDPT4_010BEGINNG_12" localSheetId="7">GMIC_22A_SCDPT4!$N$7</definedName>
    <definedName name="SCDPT4_010BEGINNG_13" localSheetId="7">GMIC_22A_SCDPT4!$O$7</definedName>
    <definedName name="SCDPT4_010BEGINNG_14" localSheetId="7">GMIC_22A_SCDPT4!$P$7</definedName>
    <definedName name="SCDPT4_010BEGINNG_15" localSheetId="7">GMIC_22A_SCDPT4!$Q$7</definedName>
    <definedName name="SCDPT4_010BEGINNG_16" localSheetId="7">GMIC_22A_SCDPT4!$R$7</definedName>
    <definedName name="SCDPT4_010BEGINNG_17" localSheetId="7">GMIC_22A_SCDPT4!$S$7</definedName>
    <definedName name="SCDPT4_010BEGINNG_18" localSheetId="7">GMIC_22A_SCDPT4!$T$7</definedName>
    <definedName name="SCDPT4_010BEGINNG_19" localSheetId="7">GMIC_22A_SCDPT4!$U$7</definedName>
    <definedName name="SCDPT4_010BEGINNG_2" localSheetId="7">GMIC_22A_SCDPT4!$D$7</definedName>
    <definedName name="SCDPT4_010BEGINNG_20" localSheetId="7">GMIC_22A_SCDPT4!$V$7</definedName>
    <definedName name="SCDPT4_010BEGINNG_21" localSheetId="7">GMIC_22A_SCDPT4!$W$7</definedName>
    <definedName name="SCDPT4_010BEGINNG_22" localSheetId="7">GMIC_22A_SCDPT4!$X$7</definedName>
    <definedName name="SCDPT4_010BEGINNG_23" localSheetId="7">GMIC_22A_SCDPT4!$Y$7</definedName>
    <definedName name="SCDPT4_010BEGINNG_24" localSheetId="7">GMIC_22A_SCDPT4!$Z$7</definedName>
    <definedName name="SCDPT4_010BEGINNG_25" localSheetId="7">GMIC_22A_SCDPT4!$AA$7</definedName>
    <definedName name="SCDPT4_010BEGINNG_26" localSheetId="7">GMIC_22A_SCDPT4!$AB$7</definedName>
    <definedName name="SCDPT4_010BEGINNG_27" localSheetId="7">GMIC_22A_SCDPT4!$AC$7</definedName>
    <definedName name="SCDPT4_010BEGINNG_3" localSheetId="7">GMIC_22A_SCDPT4!$E$7</definedName>
    <definedName name="SCDPT4_010BEGINNG_4" localSheetId="7">GMIC_22A_SCDPT4!$F$7</definedName>
    <definedName name="SCDPT4_010BEGINNG_5" localSheetId="7">GMIC_22A_SCDPT4!$G$7</definedName>
    <definedName name="SCDPT4_010BEGINNG_6" localSheetId="7">GMIC_22A_SCDPT4!$H$7</definedName>
    <definedName name="SCDPT4_010BEGINNG_7" localSheetId="7">GMIC_22A_SCDPT4!$I$7</definedName>
    <definedName name="SCDPT4_010BEGINNG_8" localSheetId="7">GMIC_22A_SCDPT4!$J$7</definedName>
    <definedName name="SCDPT4_010BEGINNG_9" localSheetId="7">GMIC_22A_SCDPT4!$K$7</definedName>
    <definedName name="SCDPT4_010ENDINGG_10" localSheetId="7">GMIC_22A_SCDPT4!$L$10</definedName>
    <definedName name="SCDPT4_010ENDINGG_11" localSheetId="7">GMIC_22A_SCDPT4!$M$10</definedName>
    <definedName name="SCDPT4_010ENDINGG_12" localSheetId="7">GMIC_22A_SCDPT4!$N$10</definedName>
    <definedName name="SCDPT4_010ENDINGG_13" localSheetId="7">GMIC_22A_SCDPT4!$O$10</definedName>
    <definedName name="SCDPT4_010ENDINGG_14" localSheetId="7">GMIC_22A_SCDPT4!$P$10</definedName>
    <definedName name="SCDPT4_010ENDINGG_15" localSheetId="7">GMIC_22A_SCDPT4!$Q$10</definedName>
    <definedName name="SCDPT4_010ENDINGG_16" localSheetId="7">GMIC_22A_SCDPT4!$R$10</definedName>
    <definedName name="SCDPT4_010ENDINGG_17" localSheetId="7">GMIC_22A_SCDPT4!$S$10</definedName>
    <definedName name="SCDPT4_010ENDINGG_18" localSheetId="7">GMIC_22A_SCDPT4!$T$10</definedName>
    <definedName name="SCDPT4_010ENDINGG_19" localSheetId="7">GMIC_22A_SCDPT4!$U$10</definedName>
    <definedName name="SCDPT4_010ENDINGG_2" localSheetId="7">GMIC_22A_SCDPT4!$D$10</definedName>
    <definedName name="SCDPT4_010ENDINGG_20" localSheetId="7">GMIC_22A_SCDPT4!$V$10</definedName>
    <definedName name="SCDPT4_010ENDINGG_21" localSheetId="7">GMIC_22A_SCDPT4!$W$10</definedName>
    <definedName name="SCDPT4_010ENDINGG_22" localSheetId="7">GMIC_22A_SCDPT4!$X$10</definedName>
    <definedName name="SCDPT4_010ENDINGG_23" localSheetId="7">GMIC_22A_SCDPT4!$Y$10</definedName>
    <definedName name="SCDPT4_010ENDINGG_24" localSheetId="7">GMIC_22A_SCDPT4!$Z$10</definedName>
    <definedName name="SCDPT4_010ENDINGG_25" localSheetId="7">GMIC_22A_SCDPT4!$AA$10</definedName>
    <definedName name="SCDPT4_010ENDINGG_26" localSheetId="7">GMIC_22A_SCDPT4!$AB$10</definedName>
    <definedName name="SCDPT4_010ENDINGG_27" localSheetId="7">GMIC_22A_SCDPT4!$AC$10</definedName>
    <definedName name="SCDPT4_010ENDINGG_3" localSheetId="7">GMIC_22A_SCDPT4!$E$10</definedName>
    <definedName name="SCDPT4_010ENDINGG_4" localSheetId="7">GMIC_22A_SCDPT4!$F$10</definedName>
    <definedName name="SCDPT4_010ENDINGG_5" localSheetId="7">GMIC_22A_SCDPT4!$G$10</definedName>
    <definedName name="SCDPT4_010ENDINGG_6" localSheetId="7">GMIC_22A_SCDPT4!$H$10</definedName>
    <definedName name="SCDPT4_010ENDINGG_7" localSheetId="7">GMIC_22A_SCDPT4!$I$10</definedName>
    <definedName name="SCDPT4_010ENDINGG_8" localSheetId="7">GMIC_22A_SCDPT4!$J$10</definedName>
    <definedName name="SCDPT4_010ENDINGG_9" localSheetId="7">GMIC_22A_SCDPT4!$K$10</definedName>
    <definedName name="SCDPT4_0300000000_Range" localSheetId="7">GMIC_22A_SCDPT4!$B$12:$AC$14</definedName>
    <definedName name="SCDPT4_0300000001_1" localSheetId="7">GMIC_22A_SCDPT4!$C$13</definedName>
    <definedName name="SCDPT4_0300000001_10" localSheetId="7">GMIC_22A_SCDPT4!$L$13</definedName>
    <definedName name="SCDPT4_0300000001_11" localSheetId="7">GMIC_22A_SCDPT4!$M$13</definedName>
    <definedName name="SCDPT4_0300000001_12" localSheetId="7">GMIC_22A_SCDPT4!$N$13</definedName>
    <definedName name="SCDPT4_0300000001_13" localSheetId="7">GMIC_22A_SCDPT4!$O$13</definedName>
    <definedName name="SCDPT4_0300000001_14" localSheetId="7">GMIC_22A_SCDPT4!$P$13</definedName>
    <definedName name="SCDPT4_0300000001_15" localSheetId="7">GMIC_22A_SCDPT4!$Q$13</definedName>
    <definedName name="SCDPT4_0300000001_16" localSheetId="7">GMIC_22A_SCDPT4!$R$13</definedName>
    <definedName name="SCDPT4_0300000001_17" localSheetId="7">GMIC_22A_SCDPT4!$S$13</definedName>
    <definedName name="SCDPT4_0300000001_18" localSheetId="7">GMIC_22A_SCDPT4!$T$13</definedName>
    <definedName name="SCDPT4_0300000001_19" localSheetId="7">GMIC_22A_SCDPT4!$U$13</definedName>
    <definedName name="SCDPT4_0300000001_2" localSheetId="7">GMIC_22A_SCDPT4!$D$13</definedName>
    <definedName name="SCDPT4_0300000001_20" localSheetId="7">GMIC_22A_SCDPT4!$V$13</definedName>
    <definedName name="SCDPT4_0300000001_21" localSheetId="7">GMIC_22A_SCDPT4!$W$13</definedName>
    <definedName name="SCDPT4_0300000001_23" localSheetId="7">GMIC_22A_SCDPT4!$Y$13</definedName>
    <definedName name="SCDPT4_0300000001_24" localSheetId="7">GMIC_22A_SCDPT4!$Z$13</definedName>
    <definedName name="SCDPT4_0300000001_25" localSheetId="7">GMIC_22A_SCDPT4!$AA$13</definedName>
    <definedName name="SCDPT4_0300000001_26" localSheetId="7">GMIC_22A_SCDPT4!$AB$13</definedName>
    <definedName name="SCDPT4_0300000001_27" localSheetId="7">GMIC_22A_SCDPT4!$AC$13</definedName>
    <definedName name="SCDPT4_0300000001_3" localSheetId="7">GMIC_22A_SCDPT4!$E$13</definedName>
    <definedName name="SCDPT4_0300000001_4" localSheetId="7">GMIC_22A_SCDPT4!$F$13</definedName>
    <definedName name="SCDPT4_0300000001_5" localSheetId="7">GMIC_22A_SCDPT4!$G$13</definedName>
    <definedName name="SCDPT4_0300000001_7" localSheetId="7">GMIC_22A_SCDPT4!$I$13</definedName>
    <definedName name="SCDPT4_0300000001_8" localSheetId="7">GMIC_22A_SCDPT4!$J$13</definedName>
    <definedName name="SCDPT4_0300000001_9" localSheetId="7">GMIC_22A_SCDPT4!$K$13</definedName>
    <definedName name="SCDPT4_0309999999_10" localSheetId="7">GMIC_22A_SCDPT4!$L$15</definedName>
    <definedName name="SCDPT4_0309999999_11" localSheetId="7">GMIC_22A_SCDPT4!$M$15</definedName>
    <definedName name="SCDPT4_0309999999_12" localSheetId="7">GMIC_22A_SCDPT4!$N$15</definedName>
    <definedName name="SCDPT4_0309999999_13" localSheetId="7">GMIC_22A_SCDPT4!$O$15</definedName>
    <definedName name="SCDPT4_0309999999_14" localSheetId="7">GMIC_22A_SCDPT4!$P$15</definedName>
    <definedName name="SCDPT4_0309999999_15" localSheetId="7">GMIC_22A_SCDPT4!$Q$15</definedName>
    <definedName name="SCDPT4_0309999999_16" localSheetId="7">GMIC_22A_SCDPT4!$R$15</definedName>
    <definedName name="SCDPT4_0309999999_17" localSheetId="7">GMIC_22A_SCDPT4!$S$15</definedName>
    <definedName name="SCDPT4_0309999999_18" localSheetId="7">GMIC_22A_SCDPT4!$T$15</definedName>
    <definedName name="SCDPT4_0309999999_19" localSheetId="7">GMIC_22A_SCDPT4!$U$15</definedName>
    <definedName name="SCDPT4_0309999999_20" localSheetId="7">GMIC_22A_SCDPT4!$V$15</definedName>
    <definedName name="SCDPT4_0309999999_7" localSheetId="7">GMIC_22A_SCDPT4!$I$15</definedName>
    <definedName name="SCDPT4_0309999999_8" localSheetId="7">GMIC_22A_SCDPT4!$J$15</definedName>
    <definedName name="SCDPT4_0309999999_9" localSheetId="7">GMIC_22A_SCDPT4!$K$15</definedName>
    <definedName name="SCDPT4_030BEGINNG_1" localSheetId="7">GMIC_22A_SCDPT4!$C$12</definedName>
    <definedName name="SCDPT4_030BEGINNG_10" localSheetId="7">GMIC_22A_SCDPT4!$L$12</definedName>
    <definedName name="SCDPT4_030BEGINNG_11" localSheetId="7">GMIC_22A_SCDPT4!$M$12</definedName>
    <definedName name="SCDPT4_030BEGINNG_12" localSheetId="7">GMIC_22A_SCDPT4!$N$12</definedName>
    <definedName name="SCDPT4_030BEGINNG_13" localSheetId="7">GMIC_22A_SCDPT4!$O$12</definedName>
    <definedName name="SCDPT4_030BEGINNG_14" localSheetId="7">GMIC_22A_SCDPT4!$P$12</definedName>
    <definedName name="SCDPT4_030BEGINNG_15" localSheetId="7">GMIC_22A_SCDPT4!$Q$12</definedName>
    <definedName name="SCDPT4_030BEGINNG_16" localSheetId="7">GMIC_22A_SCDPT4!$R$12</definedName>
    <definedName name="SCDPT4_030BEGINNG_17" localSheetId="7">GMIC_22A_SCDPT4!$S$12</definedName>
    <definedName name="SCDPT4_030BEGINNG_18" localSheetId="7">GMIC_22A_SCDPT4!$T$12</definedName>
    <definedName name="SCDPT4_030BEGINNG_19" localSheetId="7">GMIC_22A_SCDPT4!$U$12</definedName>
    <definedName name="SCDPT4_030BEGINNG_2" localSheetId="7">GMIC_22A_SCDPT4!$D$12</definedName>
    <definedName name="SCDPT4_030BEGINNG_20" localSheetId="7">GMIC_22A_SCDPT4!$V$12</definedName>
    <definedName name="SCDPT4_030BEGINNG_21" localSheetId="7">GMIC_22A_SCDPT4!$W$12</definedName>
    <definedName name="SCDPT4_030BEGINNG_22" localSheetId="7">GMIC_22A_SCDPT4!$X$12</definedName>
    <definedName name="SCDPT4_030BEGINNG_23" localSheetId="7">GMIC_22A_SCDPT4!$Y$12</definedName>
    <definedName name="SCDPT4_030BEGINNG_24" localSheetId="7">GMIC_22A_SCDPT4!$Z$12</definedName>
    <definedName name="SCDPT4_030BEGINNG_25" localSheetId="7">GMIC_22A_SCDPT4!$AA$12</definedName>
    <definedName name="SCDPT4_030BEGINNG_26" localSheetId="7">GMIC_22A_SCDPT4!$AB$12</definedName>
    <definedName name="SCDPT4_030BEGINNG_27" localSheetId="7">GMIC_22A_SCDPT4!$AC$12</definedName>
    <definedName name="SCDPT4_030BEGINNG_3" localSheetId="7">GMIC_22A_SCDPT4!$E$12</definedName>
    <definedName name="SCDPT4_030BEGINNG_4" localSheetId="7">GMIC_22A_SCDPT4!$F$12</definedName>
    <definedName name="SCDPT4_030BEGINNG_5" localSheetId="7">GMIC_22A_SCDPT4!$G$12</definedName>
    <definedName name="SCDPT4_030BEGINNG_6" localSheetId="7">GMIC_22A_SCDPT4!$H$12</definedName>
    <definedName name="SCDPT4_030BEGINNG_7" localSheetId="7">GMIC_22A_SCDPT4!$I$12</definedName>
    <definedName name="SCDPT4_030BEGINNG_8" localSheetId="7">GMIC_22A_SCDPT4!$J$12</definedName>
    <definedName name="SCDPT4_030BEGINNG_9" localSheetId="7">GMIC_22A_SCDPT4!$K$12</definedName>
    <definedName name="SCDPT4_030ENDINGG_10" localSheetId="7">GMIC_22A_SCDPT4!$L$14</definedName>
    <definedName name="SCDPT4_030ENDINGG_11" localSheetId="7">GMIC_22A_SCDPT4!$M$14</definedName>
    <definedName name="SCDPT4_030ENDINGG_12" localSheetId="7">GMIC_22A_SCDPT4!$N$14</definedName>
    <definedName name="SCDPT4_030ENDINGG_13" localSheetId="7">GMIC_22A_SCDPT4!$O$14</definedName>
    <definedName name="SCDPT4_030ENDINGG_14" localSheetId="7">GMIC_22A_SCDPT4!$P$14</definedName>
    <definedName name="SCDPT4_030ENDINGG_15" localSheetId="7">GMIC_22A_SCDPT4!$Q$14</definedName>
    <definedName name="SCDPT4_030ENDINGG_16" localSheetId="7">GMIC_22A_SCDPT4!$R$14</definedName>
    <definedName name="SCDPT4_030ENDINGG_17" localSheetId="7">GMIC_22A_SCDPT4!$S$14</definedName>
    <definedName name="SCDPT4_030ENDINGG_18" localSheetId="7">GMIC_22A_SCDPT4!$T$14</definedName>
    <definedName name="SCDPT4_030ENDINGG_19" localSheetId="7">GMIC_22A_SCDPT4!$U$14</definedName>
    <definedName name="SCDPT4_030ENDINGG_2" localSheetId="7">GMIC_22A_SCDPT4!$D$14</definedName>
    <definedName name="SCDPT4_030ENDINGG_20" localSheetId="7">GMIC_22A_SCDPT4!$V$14</definedName>
    <definedName name="SCDPT4_030ENDINGG_21" localSheetId="7">GMIC_22A_SCDPT4!$W$14</definedName>
    <definedName name="SCDPT4_030ENDINGG_22" localSheetId="7">GMIC_22A_SCDPT4!$X$14</definedName>
    <definedName name="SCDPT4_030ENDINGG_23" localSheetId="7">GMIC_22A_SCDPT4!$Y$14</definedName>
    <definedName name="SCDPT4_030ENDINGG_24" localSheetId="7">GMIC_22A_SCDPT4!$Z$14</definedName>
    <definedName name="SCDPT4_030ENDINGG_25" localSheetId="7">GMIC_22A_SCDPT4!$AA$14</definedName>
    <definedName name="SCDPT4_030ENDINGG_26" localSheetId="7">GMIC_22A_SCDPT4!$AB$14</definedName>
    <definedName name="SCDPT4_030ENDINGG_27" localSheetId="7">GMIC_22A_SCDPT4!$AC$14</definedName>
    <definedName name="SCDPT4_030ENDINGG_3" localSheetId="7">GMIC_22A_SCDPT4!$E$14</definedName>
    <definedName name="SCDPT4_030ENDINGG_4" localSheetId="7">GMIC_22A_SCDPT4!$F$14</definedName>
    <definedName name="SCDPT4_030ENDINGG_5" localSheetId="7">GMIC_22A_SCDPT4!$G$14</definedName>
    <definedName name="SCDPT4_030ENDINGG_6" localSheetId="7">GMIC_22A_SCDPT4!$H$14</definedName>
    <definedName name="SCDPT4_030ENDINGG_7" localSheetId="7">GMIC_22A_SCDPT4!$I$14</definedName>
    <definedName name="SCDPT4_030ENDINGG_8" localSheetId="7">GMIC_22A_SCDPT4!$J$14</definedName>
    <definedName name="SCDPT4_030ENDINGG_9" localSheetId="7">GMIC_22A_SCDPT4!$K$14</definedName>
    <definedName name="SCDPT4_0500000000_Range" localSheetId="7">GMIC_22A_SCDPT4!$B$16:$AC$18</definedName>
    <definedName name="SCDPT4_0500000001_1" localSheetId="7">GMIC_22A_SCDPT4!$C$17</definedName>
    <definedName name="SCDPT4_0500000001_10" localSheetId="7">GMIC_22A_SCDPT4!$L$17</definedName>
    <definedName name="SCDPT4_0500000001_11" localSheetId="7">GMIC_22A_SCDPT4!$M$17</definedName>
    <definedName name="SCDPT4_0500000001_12" localSheetId="7">GMIC_22A_SCDPT4!$N$17</definedName>
    <definedName name="SCDPT4_0500000001_13" localSheetId="7">GMIC_22A_SCDPT4!$O$17</definedName>
    <definedName name="SCDPT4_0500000001_14" localSheetId="7">GMIC_22A_SCDPT4!$P$17</definedName>
    <definedName name="SCDPT4_0500000001_15" localSheetId="7">GMIC_22A_SCDPT4!$Q$17</definedName>
    <definedName name="SCDPT4_0500000001_16" localSheetId="7">GMIC_22A_SCDPT4!$R$17</definedName>
    <definedName name="SCDPT4_0500000001_17" localSheetId="7">GMIC_22A_SCDPT4!$S$17</definedName>
    <definedName name="SCDPT4_0500000001_18" localSheetId="7">GMIC_22A_SCDPT4!$T$17</definedName>
    <definedName name="SCDPT4_0500000001_19" localSheetId="7">GMIC_22A_SCDPT4!$U$17</definedName>
    <definedName name="SCDPT4_0500000001_2" localSheetId="7">GMIC_22A_SCDPT4!$D$17</definedName>
    <definedName name="SCDPT4_0500000001_20" localSheetId="7">GMIC_22A_SCDPT4!$V$17</definedName>
    <definedName name="SCDPT4_0500000001_21" localSheetId="7">GMIC_22A_SCDPT4!$W$17</definedName>
    <definedName name="SCDPT4_0500000001_22" localSheetId="7">GMIC_22A_SCDPT4!$X$17</definedName>
    <definedName name="SCDPT4_0500000001_23" localSheetId="7">GMIC_22A_SCDPT4!$Y$17</definedName>
    <definedName name="SCDPT4_0500000001_24" localSheetId="7">GMIC_22A_SCDPT4!$Z$17</definedName>
    <definedName name="SCDPT4_0500000001_25" localSheetId="7">GMIC_22A_SCDPT4!$AA$17</definedName>
    <definedName name="SCDPT4_0500000001_26" localSheetId="7">GMIC_22A_SCDPT4!$AB$17</definedName>
    <definedName name="SCDPT4_0500000001_27" localSheetId="7">GMIC_22A_SCDPT4!$AC$17</definedName>
    <definedName name="SCDPT4_0500000001_3" localSheetId="7">GMIC_22A_SCDPT4!$E$17</definedName>
    <definedName name="SCDPT4_0500000001_4" localSheetId="7">GMIC_22A_SCDPT4!$F$17</definedName>
    <definedName name="SCDPT4_0500000001_5" localSheetId="7">GMIC_22A_SCDPT4!$G$17</definedName>
    <definedName name="SCDPT4_0500000001_7" localSheetId="7">GMIC_22A_SCDPT4!$I$17</definedName>
    <definedName name="SCDPT4_0500000001_8" localSheetId="7">GMIC_22A_SCDPT4!$J$17</definedName>
    <definedName name="SCDPT4_0500000001_9" localSheetId="7">GMIC_22A_SCDPT4!$K$17</definedName>
    <definedName name="SCDPT4_0509999999_10" localSheetId="7">GMIC_22A_SCDPT4!$L$19</definedName>
    <definedName name="SCDPT4_0509999999_11" localSheetId="7">GMIC_22A_SCDPT4!$M$19</definedName>
    <definedName name="SCDPT4_0509999999_12" localSheetId="7">GMIC_22A_SCDPT4!$N$19</definedName>
    <definedName name="SCDPT4_0509999999_13" localSheetId="7">GMIC_22A_SCDPT4!$O$19</definedName>
    <definedName name="SCDPT4_0509999999_14" localSheetId="7">GMIC_22A_SCDPT4!$P$19</definedName>
    <definedName name="SCDPT4_0509999999_15" localSheetId="7">GMIC_22A_SCDPT4!$Q$19</definedName>
    <definedName name="SCDPT4_0509999999_16" localSheetId="7">GMIC_22A_SCDPT4!$R$19</definedName>
    <definedName name="SCDPT4_0509999999_17" localSheetId="7">GMIC_22A_SCDPT4!$S$19</definedName>
    <definedName name="SCDPT4_0509999999_18" localSheetId="7">GMIC_22A_SCDPT4!$T$19</definedName>
    <definedName name="SCDPT4_0509999999_19" localSheetId="7">GMIC_22A_SCDPT4!$U$19</definedName>
    <definedName name="SCDPT4_0509999999_20" localSheetId="7">GMIC_22A_SCDPT4!$V$19</definedName>
    <definedName name="SCDPT4_0509999999_7" localSheetId="7">GMIC_22A_SCDPT4!$I$19</definedName>
    <definedName name="SCDPT4_0509999999_8" localSheetId="7">GMIC_22A_SCDPT4!$J$19</definedName>
    <definedName name="SCDPT4_0509999999_9" localSheetId="7">GMIC_22A_SCDPT4!$K$19</definedName>
    <definedName name="SCDPT4_050BEGINNG_1" localSheetId="7">GMIC_22A_SCDPT4!$C$16</definedName>
    <definedName name="SCDPT4_050BEGINNG_10" localSheetId="7">GMIC_22A_SCDPT4!$L$16</definedName>
    <definedName name="SCDPT4_050BEGINNG_11" localSheetId="7">GMIC_22A_SCDPT4!$M$16</definedName>
    <definedName name="SCDPT4_050BEGINNG_12" localSheetId="7">GMIC_22A_SCDPT4!$N$16</definedName>
    <definedName name="SCDPT4_050BEGINNG_13" localSheetId="7">GMIC_22A_SCDPT4!$O$16</definedName>
    <definedName name="SCDPT4_050BEGINNG_14" localSheetId="7">GMIC_22A_SCDPT4!$P$16</definedName>
    <definedName name="SCDPT4_050BEGINNG_15" localSheetId="7">GMIC_22A_SCDPT4!$Q$16</definedName>
    <definedName name="SCDPT4_050BEGINNG_16" localSheetId="7">GMIC_22A_SCDPT4!$R$16</definedName>
    <definedName name="SCDPT4_050BEGINNG_17" localSheetId="7">GMIC_22A_SCDPT4!$S$16</definedName>
    <definedName name="SCDPT4_050BEGINNG_18" localSheetId="7">GMIC_22A_SCDPT4!$T$16</definedName>
    <definedName name="SCDPT4_050BEGINNG_19" localSheetId="7">GMIC_22A_SCDPT4!$U$16</definedName>
    <definedName name="SCDPT4_050BEGINNG_2" localSheetId="7">GMIC_22A_SCDPT4!$D$16</definedName>
    <definedName name="SCDPT4_050BEGINNG_20" localSheetId="7">GMIC_22A_SCDPT4!$V$16</definedName>
    <definedName name="SCDPT4_050BEGINNG_21" localSheetId="7">GMIC_22A_SCDPT4!$W$16</definedName>
    <definedName name="SCDPT4_050BEGINNG_22" localSheetId="7">GMIC_22A_SCDPT4!$X$16</definedName>
    <definedName name="SCDPT4_050BEGINNG_23" localSheetId="7">GMIC_22A_SCDPT4!$Y$16</definedName>
    <definedName name="SCDPT4_050BEGINNG_24" localSheetId="7">GMIC_22A_SCDPT4!$Z$16</definedName>
    <definedName name="SCDPT4_050BEGINNG_25" localSheetId="7">GMIC_22A_SCDPT4!$AA$16</definedName>
    <definedName name="SCDPT4_050BEGINNG_26" localSheetId="7">GMIC_22A_SCDPT4!$AB$16</definedName>
    <definedName name="SCDPT4_050BEGINNG_27" localSheetId="7">GMIC_22A_SCDPT4!$AC$16</definedName>
    <definedName name="SCDPT4_050BEGINNG_3" localSheetId="7">GMIC_22A_SCDPT4!$E$16</definedName>
    <definedName name="SCDPT4_050BEGINNG_4" localSheetId="7">GMIC_22A_SCDPT4!$F$16</definedName>
    <definedName name="SCDPT4_050BEGINNG_5" localSheetId="7">GMIC_22A_SCDPT4!$G$16</definedName>
    <definedName name="SCDPT4_050BEGINNG_6" localSheetId="7">GMIC_22A_SCDPT4!$H$16</definedName>
    <definedName name="SCDPT4_050BEGINNG_7" localSheetId="7">GMIC_22A_SCDPT4!$I$16</definedName>
    <definedName name="SCDPT4_050BEGINNG_8" localSheetId="7">GMIC_22A_SCDPT4!$J$16</definedName>
    <definedName name="SCDPT4_050BEGINNG_9" localSheetId="7">GMIC_22A_SCDPT4!$K$16</definedName>
    <definedName name="SCDPT4_050ENDINGG_10" localSheetId="7">GMIC_22A_SCDPT4!$L$18</definedName>
    <definedName name="SCDPT4_050ENDINGG_11" localSheetId="7">GMIC_22A_SCDPT4!$M$18</definedName>
    <definedName name="SCDPT4_050ENDINGG_12" localSheetId="7">GMIC_22A_SCDPT4!$N$18</definedName>
    <definedName name="SCDPT4_050ENDINGG_13" localSheetId="7">GMIC_22A_SCDPT4!$O$18</definedName>
    <definedName name="SCDPT4_050ENDINGG_14" localSheetId="7">GMIC_22A_SCDPT4!$P$18</definedName>
    <definedName name="SCDPT4_050ENDINGG_15" localSheetId="7">GMIC_22A_SCDPT4!$Q$18</definedName>
    <definedName name="SCDPT4_050ENDINGG_16" localSheetId="7">GMIC_22A_SCDPT4!$R$18</definedName>
    <definedName name="SCDPT4_050ENDINGG_17" localSheetId="7">GMIC_22A_SCDPT4!$S$18</definedName>
    <definedName name="SCDPT4_050ENDINGG_18" localSheetId="7">GMIC_22A_SCDPT4!$T$18</definedName>
    <definedName name="SCDPT4_050ENDINGG_19" localSheetId="7">GMIC_22A_SCDPT4!$U$18</definedName>
    <definedName name="SCDPT4_050ENDINGG_2" localSheetId="7">GMIC_22A_SCDPT4!$D$18</definedName>
    <definedName name="SCDPT4_050ENDINGG_20" localSheetId="7">GMIC_22A_SCDPT4!$V$18</definedName>
    <definedName name="SCDPT4_050ENDINGG_21" localSheetId="7">GMIC_22A_SCDPT4!$W$18</definedName>
    <definedName name="SCDPT4_050ENDINGG_22" localSheetId="7">GMIC_22A_SCDPT4!$X$18</definedName>
    <definedName name="SCDPT4_050ENDINGG_23" localSheetId="7">GMIC_22A_SCDPT4!$Y$18</definedName>
    <definedName name="SCDPT4_050ENDINGG_24" localSheetId="7">GMIC_22A_SCDPT4!$Z$18</definedName>
    <definedName name="SCDPT4_050ENDINGG_25" localSheetId="7">GMIC_22A_SCDPT4!$AA$18</definedName>
    <definedName name="SCDPT4_050ENDINGG_26" localSheetId="7">GMIC_22A_SCDPT4!$AB$18</definedName>
    <definedName name="SCDPT4_050ENDINGG_27" localSheetId="7">GMIC_22A_SCDPT4!$AC$18</definedName>
    <definedName name="SCDPT4_050ENDINGG_3" localSheetId="7">GMIC_22A_SCDPT4!$E$18</definedName>
    <definedName name="SCDPT4_050ENDINGG_4" localSheetId="7">GMIC_22A_SCDPT4!$F$18</definedName>
    <definedName name="SCDPT4_050ENDINGG_5" localSheetId="7">GMIC_22A_SCDPT4!$G$18</definedName>
    <definedName name="SCDPT4_050ENDINGG_6" localSheetId="7">GMIC_22A_SCDPT4!$H$18</definedName>
    <definedName name="SCDPT4_050ENDINGG_7" localSheetId="7">GMIC_22A_SCDPT4!$I$18</definedName>
    <definedName name="SCDPT4_050ENDINGG_8" localSheetId="7">GMIC_22A_SCDPT4!$J$18</definedName>
    <definedName name="SCDPT4_050ENDINGG_9" localSheetId="7">GMIC_22A_SCDPT4!$K$18</definedName>
    <definedName name="SCDPT4_0700000000_Range" localSheetId="7">GMIC_22A_SCDPT4!$B$20:$AC$25</definedName>
    <definedName name="SCDPT4_0700000001_1" localSheetId="7">GMIC_22A_SCDPT4!$C$21</definedName>
    <definedName name="SCDPT4_0700000001_10" localSheetId="7">GMIC_22A_SCDPT4!$L$21</definedName>
    <definedName name="SCDPT4_0700000001_11" localSheetId="7">GMIC_22A_SCDPT4!$M$21</definedName>
    <definedName name="SCDPT4_0700000001_12" localSheetId="7">GMIC_22A_SCDPT4!$N$21</definedName>
    <definedName name="SCDPT4_0700000001_13" localSheetId="7">GMIC_22A_SCDPT4!$O$21</definedName>
    <definedName name="SCDPT4_0700000001_14" localSheetId="7">GMIC_22A_SCDPT4!$P$21</definedName>
    <definedName name="SCDPT4_0700000001_15" localSheetId="7">GMIC_22A_SCDPT4!$Q$21</definedName>
    <definedName name="SCDPT4_0700000001_16" localSheetId="7">GMIC_22A_SCDPT4!$R$21</definedName>
    <definedName name="SCDPT4_0700000001_17" localSheetId="7">GMIC_22A_SCDPT4!$S$21</definedName>
    <definedName name="SCDPT4_0700000001_18" localSheetId="7">GMIC_22A_SCDPT4!$T$21</definedName>
    <definedName name="SCDPT4_0700000001_19" localSheetId="7">GMIC_22A_SCDPT4!$U$21</definedName>
    <definedName name="SCDPT4_0700000001_2" localSheetId="7">GMIC_22A_SCDPT4!$D$21</definedName>
    <definedName name="SCDPT4_0700000001_20" localSheetId="7">GMIC_22A_SCDPT4!$V$21</definedName>
    <definedName name="SCDPT4_0700000001_21" localSheetId="7">GMIC_22A_SCDPT4!$W$21</definedName>
    <definedName name="SCDPT4_0700000001_22" localSheetId="7">GMIC_22A_SCDPT4!$X$21</definedName>
    <definedName name="SCDPT4_0700000001_23" localSheetId="7">GMIC_22A_SCDPT4!$Y$21</definedName>
    <definedName name="SCDPT4_0700000001_24" localSheetId="7">GMIC_22A_SCDPT4!$Z$21</definedName>
    <definedName name="SCDPT4_0700000001_25" localSheetId="7">GMIC_22A_SCDPT4!$AA$21</definedName>
    <definedName name="SCDPT4_0700000001_26" localSheetId="7">GMIC_22A_SCDPT4!$AB$21</definedName>
    <definedName name="SCDPT4_0700000001_27" localSheetId="7">GMIC_22A_SCDPT4!$AC$21</definedName>
    <definedName name="SCDPT4_0700000001_3" localSheetId="7">GMIC_22A_SCDPT4!$E$21</definedName>
    <definedName name="SCDPT4_0700000001_4" localSheetId="7">GMIC_22A_SCDPT4!$F$21</definedName>
    <definedName name="SCDPT4_0700000001_5" localSheetId="7">GMIC_22A_SCDPT4!$G$21</definedName>
    <definedName name="SCDPT4_0700000001_7" localSheetId="7">GMIC_22A_SCDPT4!$I$21</definedName>
    <definedName name="SCDPT4_0700000001_8" localSheetId="7">GMIC_22A_SCDPT4!$J$21</definedName>
    <definedName name="SCDPT4_0700000001_9" localSheetId="7">GMIC_22A_SCDPT4!$K$21</definedName>
    <definedName name="SCDPT4_0709999999_10" localSheetId="7">GMIC_22A_SCDPT4!$L$26</definedName>
    <definedName name="SCDPT4_0709999999_11" localSheetId="7">GMIC_22A_SCDPT4!$M$26</definedName>
    <definedName name="SCDPT4_0709999999_12" localSheetId="7">GMIC_22A_SCDPT4!$N$26</definedName>
    <definedName name="SCDPT4_0709999999_13" localSheetId="7">GMIC_22A_SCDPT4!$O$26</definedName>
    <definedName name="SCDPT4_0709999999_14" localSheetId="7">GMIC_22A_SCDPT4!$P$26</definedName>
    <definedName name="SCDPT4_0709999999_15" localSheetId="7">GMIC_22A_SCDPT4!$Q$26</definedName>
    <definedName name="SCDPT4_0709999999_16" localSheetId="7">GMIC_22A_SCDPT4!$R$26</definedName>
    <definedName name="SCDPT4_0709999999_17" localSheetId="7">GMIC_22A_SCDPT4!$S$26</definedName>
    <definedName name="SCDPT4_0709999999_18" localSheetId="7">GMIC_22A_SCDPT4!$T$26</definedName>
    <definedName name="SCDPT4_0709999999_19" localSheetId="7">GMIC_22A_SCDPT4!$U$26</definedName>
    <definedName name="SCDPT4_0709999999_20" localSheetId="7">GMIC_22A_SCDPT4!$V$26</definedName>
    <definedName name="SCDPT4_0709999999_7" localSheetId="7">GMIC_22A_SCDPT4!$I$26</definedName>
    <definedName name="SCDPT4_0709999999_8" localSheetId="7">GMIC_22A_SCDPT4!$J$26</definedName>
    <definedName name="SCDPT4_0709999999_9" localSheetId="7">GMIC_22A_SCDPT4!$K$26</definedName>
    <definedName name="SCDPT4_070BEGINNG_1" localSheetId="7">GMIC_22A_SCDPT4!$C$20</definedName>
    <definedName name="SCDPT4_070BEGINNG_10" localSheetId="7">GMIC_22A_SCDPT4!$L$20</definedName>
    <definedName name="SCDPT4_070BEGINNG_11" localSheetId="7">GMIC_22A_SCDPT4!$M$20</definedName>
    <definedName name="SCDPT4_070BEGINNG_12" localSheetId="7">GMIC_22A_SCDPT4!$N$20</definedName>
    <definedName name="SCDPT4_070BEGINNG_13" localSheetId="7">GMIC_22A_SCDPT4!$O$20</definedName>
    <definedName name="SCDPT4_070BEGINNG_14" localSheetId="7">GMIC_22A_SCDPT4!$P$20</definedName>
    <definedName name="SCDPT4_070BEGINNG_15" localSheetId="7">GMIC_22A_SCDPT4!$Q$20</definedName>
    <definedName name="SCDPT4_070BEGINNG_16" localSheetId="7">GMIC_22A_SCDPT4!$R$20</definedName>
    <definedName name="SCDPT4_070BEGINNG_17" localSheetId="7">GMIC_22A_SCDPT4!$S$20</definedName>
    <definedName name="SCDPT4_070BEGINNG_18" localSheetId="7">GMIC_22A_SCDPT4!$T$20</definedName>
    <definedName name="SCDPT4_070BEGINNG_19" localSheetId="7">GMIC_22A_SCDPT4!$U$20</definedName>
    <definedName name="SCDPT4_070BEGINNG_2" localSheetId="7">GMIC_22A_SCDPT4!$D$20</definedName>
    <definedName name="SCDPT4_070BEGINNG_20" localSheetId="7">GMIC_22A_SCDPT4!$V$20</definedName>
    <definedName name="SCDPT4_070BEGINNG_21" localSheetId="7">GMIC_22A_SCDPT4!$W$20</definedName>
    <definedName name="SCDPT4_070BEGINNG_22" localSheetId="7">GMIC_22A_SCDPT4!$X$20</definedName>
    <definedName name="SCDPT4_070BEGINNG_23" localSheetId="7">GMIC_22A_SCDPT4!$Y$20</definedName>
    <definedName name="SCDPT4_070BEGINNG_24" localSheetId="7">GMIC_22A_SCDPT4!$Z$20</definedName>
    <definedName name="SCDPT4_070BEGINNG_25" localSheetId="7">GMIC_22A_SCDPT4!$AA$20</definedName>
    <definedName name="SCDPT4_070BEGINNG_26" localSheetId="7">GMIC_22A_SCDPT4!$AB$20</definedName>
    <definedName name="SCDPT4_070BEGINNG_27" localSheetId="7">GMIC_22A_SCDPT4!$AC$20</definedName>
    <definedName name="SCDPT4_070BEGINNG_3" localSheetId="7">GMIC_22A_SCDPT4!$E$20</definedName>
    <definedName name="SCDPT4_070BEGINNG_4" localSheetId="7">GMIC_22A_SCDPT4!$F$20</definedName>
    <definedName name="SCDPT4_070BEGINNG_5" localSheetId="7">GMIC_22A_SCDPT4!$G$20</definedName>
    <definedName name="SCDPT4_070BEGINNG_6" localSheetId="7">GMIC_22A_SCDPT4!$H$20</definedName>
    <definedName name="SCDPT4_070BEGINNG_7" localSheetId="7">GMIC_22A_SCDPT4!$I$20</definedName>
    <definedName name="SCDPT4_070BEGINNG_8" localSheetId="7">GMIC_22A_SCDPT4!$J$20</definedName>
    <definedName name="SCDPT4_070BEGINNG_9" localSheetId="7">GMIC_22A_SCDPT4!$K$20</definedName>
    <definedName name="SCDPT4_070ENDINGG_10" localSheetId="7">GMIC_22A_SCDPT4!$L$25</definedName>
    <definedName name="SCDPT4_070ENDINGG_11" localSheetId="7">GMIC_22A_SCDPT4!$M$25</definedName>
    <definedName name="SCDPT4_070ENDINGG_12" localSheetId="7">GMIC_22A_SCDPT4!$N$25</definedName>
    <definedName name="SCDPT4_070ENDINGG_13" localSheetId="7">GMIC_22A_SCDPT4!$O$25</definedName>
    <definedName name="SCDPT4_070ENDINGG_14" localSheetId="7">GMIC_22A_SCDPT4!$P$25</definedName>
    <definedName name="SCDPT4_070ENDINGG_15" localSheetId="7">GMIC_22A_SCDPT4!$Q$25</definedName>
    <definedName name="SCDPT4_070ENDINGG_16" localSheetId="7">GMIC_22A_SCDPT4!$R$25</definedName>
    <definedName name="SCDPT4_070ENDINGG_17" localSheetId="7">GMIC_22A_SCDPT4!$S$25</definedName>
    <definedName name="SCDPT4_070ENDINGG_18" localSheetId="7">GMIC_22A_SCDPT4!$T$25</definedName>
    <definedName name="SCDPT4_070ENDINGG_19" localSheetId="7">GMIC_22A_SCDPT4!$U$25</definedName>
    <definedName name="SCDPT4_070ENDINGG_2" localSheetId="7">GMIC_22A_SCDPT4!$D$25</definedName>
    <definedName name="SCDPT4_070ENDINGG_20" localSheetId="7">GMIC_22A_SCDPT4!$V$25</definedName>
    <definedName name="SCDPT4_070ENDINGG_21" localSheetId="7">GMIC_22A_SCDPT4!$W$25</definedName>
    <definedName name="SCDPT4_070ENDINGG_22" localSheetId="7">GMIC_22A_SCDPT4!$X$25</definedName>
    <definedName name="SCDPT4_070ENDINGG_23" localSheetId="7">GMIC_22A_SCDPT4!$Y$25</definedName>
    <definedName name="SCDPT4_070ENDINGG_24" localSheetId="7">GMIC_22A_SCDPT4!$Z$25</definedName>
    <definedName name="SCDPT4_070ENDINGG_25" localSheetId="7">GMIC_22A_SCDPT4!$AA$25</definedName>
    <definedName name="SCDPT4_070ENDINGG_26" localSheetId="7">GMIC_22A_SCDPT4!$AB$25</definedName>
    <definedName name="SCDPT4_070ENDINGG_27" localSheetId="7">GMIC_22A_SCDPT4!$AC$25</definedName>
    <definedName name="SCDPT4_070ENDINGG_3" localSheetId="7">GMIC_22A_SCDPT4!$E$25</definedName>
    <definedName name="SCDPT4_070ENDINGG_4" localSheetId="7">GMIC_22A_SCDPT4!$F$25</definedName>
    <definedName name="SCDPT4_070ENDINGG_5" localSheetId="7">GMIC_22A_SCDPT4!$G$25</definedName>
    <definedName name="SCDPT4_070ENDINGG_6" localSheetId="7">GMIC_22A_SCDPT4!$H$25</definedName>
    <definedName name="SCDPT4_070ENDINGG_7" localSheetId="7">GMIC_22A_SCDPT4!$I$25</definedName>
    <definedName name="SCDPT4_070ENDINGG_8" localSheetId="7">GMIC_22A_SCDPT4!$J$25</definedName>
    <definedName name="SCDPT4_070ENDINGG_9" localSheetId="7">GMIC_22A_SCDPT4!$K$25</definedName>
    <definedName name="SCDPT4_0900000000_Range" localSheetId="7">GMIC_22A_SCDPT4!$B$27:$AC$36</definedName>
    <definedName name="SCDPT4_0900000001_1" localSheetId="7">GMIC_22A_SCDPT4!$C$28</definedName>
    <definedName name="SCDPT4_0900000001_10" localSheetId="7">GMIC_22A_SCDPT4!$L$28</definedName>
    <definedName name="SCDPT4_0900000001_11" localSheetId="7">GMIC_22A_SCDPT4!$M$28</definedName>
    <definedName name="SCDPT4_0900000001_12" localSheetId="7">GMIC_22A_SCDPT4!$N$28</definedName>
    <definedName name="SCDPT4_0900000001_13" localSheetId="7">GMIC_22A_SCDPT4!$O$28</definedName>
    <definedName name="SCDPT4_0900000001_14" localSheetId="7">GMIC_22A_SCDPT4!$P$28</definedName>
    <definedName name="SCDPT4_0900000001_15" localSheetId="7">GMIC_22A_SCDPT4!$Q$28</definedName>
    <definedName name="SCDPT4_0900000001_16" localSheetId="7">GMIC_22A_SCDPT4!$R$28</definedName>
    <definedName name="SCDPT4_0900000001_17" localSheetId="7">GMIC_22A_SCDPT4!$S$28</definedName>
    <definedName name="SCDPT4_0900000001_18" localSheetId="7">GMIC_22A_SCDPT4!$T$28</definedName>
    <definedName name="SCDPT4_0900000001_19" localSheetId="7">GMIC_22A_SCDPT4!$U$28</definedName>
    <definedName name="SCDPT4_0900000001_2" localSheetId="7">GMIC_22A_SCDPT4!$D$28</definedName>
    <definedName name="SCDPT4_0900000001_20" localSheetId="7">GMIC_22A_SCDPT4!$V$28</definedName>
    <definedName name="SCDPT4_0900000001_21" localSheetId="7">GMIC_22A_SCDPT4!$W$28</definedName>
    <definedName name="SCDPT4_0900000001_22" localSheetId="7">GMIC_22A_SCDPT4!$X$28</definedName>
    <definedName name="SCDPT4_0900000001_23" localSheetId="7">GMIC_22A_SCDPT4!$Y$28</definedName>
    <definedName name="SCDPT4_0900000001_24" localSheetId="7">GMIC_22A_SCDPT4!$Z$28</definedName>
    <definedName name="SCDPT4_0900000001_25" localSheetId="7">GMIC_22A_SCDPT4!$AA$28</definedName>
    <definedName name="SCDPT4_0900000001_26" localSheetId="7">GMIC_22A_SCDPT4!$AB$28</definedName>
    <definedName name="SCDPT4_0900000001_27" localSheetId="7">GMIC_22A_SCDPT4!$AC$28</definedName>
    <definedName name="SCDPT4_0900000001_3" localSheetId="7">GMIC_22A_SCDPT4!$E$28</definedName>
    <definedName name="SCDPT4_0900000001_4" localSheetId="7">GMIC_22A_SCDPT4!$F$28</definedName>
    <definedName name="SCDPT4_0900000001_5" localSheetId="7">GMIC_22A_SCDPT4!$G$28</definedName>
    <definedName name="SCDPT4_0900000001_7" localSheetId="7">GMIC_22A_SCDPT4!$I$28</definedName>
    <definedName name="SCDPT4_0900000001_8" localSheetId="7">GMIC_22A_SCDPT4!$J$28</definedName>
    <definedName name="SCDPT4_0900000001_9" localSheetId="7">GMIC_22A_SCDPT4!$K$28</definedName>
    <definedName name="SCDPT4_0909999999_10" localSheetId="7">GMIC_22A_SCDPT4!$L$37</definedName>
    <definedName name="SCDPT4_0909999999_11" localSheetId="7">GMIC_22A_SCDPT4!$M$37</definedName>
    <definedName name="SCDPT4_0909999999_12" localSheetId="7">GMIC_22A_SCDPT4!$N$37</definedName>
    <definedName name="SCDPT4_0909999999_13" localSheetId="7">GMIC_22A_SCDPT4!$O$37</definedName>
    <definedName name="SCDPT4_0909999999_14" localSheetId="7">GMIC_22A_SCDPT4!$P$37</definedName>
    <definedName name="SCDPT4_0909999999_15" localSheetId="7">GMIC_22A_SCDPT4!$Q$37</definedName>
    <definedName name="SCDPT4_0909999999_16" localSheetId="7">GMIC_22A_SCDPT4!$R$37</definedName>
    <definedName name="SCDPT4_0909999999_17" localSheetId="7">GMIC_22A_SCDPT4!$S$37</definedName>
    <definedName name="SCDPT4_0909999999_18" localSheetId="7">GMIC_22A_SCDPT4!$T$37</definedName>
    <definedName name="SCDPT4_0909999999_19" localSheetId="7">GMIC_22A_SCDPT4!$U$37</definedName>
    <definedName name="SCDPT4_0909999999_20" localSheetId="7">GMIC_22A_SCDPT4!$V$37</definedName>
    <definedName name="SCDPT4_0909999999_7" localSheetId="7">GMIC_22A_SCDPT4!$I$37</definedName>
    <definedName name="SCDPT4_0909999999_8" localSheetId="7">GMIC_22A_SCDPT4!$J$37</definedName>
    <definedName name="SCDPT4_0909999999_9" localSheetId="7">GMIC_22A_SCDPT4!$K$37</definedName>
    <definedName name="SCDPT4_090BEGINNG_1" localSheetId="7">GMIC_22A_SCDPT4!$C$27</definedName>
    <definedName name="SCDPT4_090BEGINNG_10" localSheetId="7">GMIC_22A_SCDPT4!$L$27</definedName>
    <definedName name="SCDPT4_090BEGINNG_11" localSheetId="7">GMIC_22A_SCDPT4!$M$27</definedName>
    <definedName name="SCDPT4_090BEGINNG_12" localSheetId="7">GMIC_22A_SCDPT4!$N$27</definedName>
    <definedName name="SCDPT4_090BEGINNG_13" localSheetId="7">GMIC_22A_SCDPT4!$O$27</definedName>
    <definedName name="SCDPT4_090BEGINNG_14" localSheetId="7">GMIC_22A_SCDPT4!$P$27</definedName>
    <definedName name="SCDPT4_090BEGINNG_15" localSheetId="7">GMIC_22A_SCDPT4!$Q$27</definedName>
    <definedName name="SCDPT4_090BEGINNG_16" localSheetId="7">GMIC_22A_SCDPT4!$R$27</definedName>
    <definedName name="SCDPT4_090BEGINNG_17" localSheetId="7">GMIC_22A_SCDPT4!$S$27</definedName>
    <definedName name="SCDPT4_090BEGINNG_18" localSheetId="7">GMIC_22A_SCDPT4!$T$27</definedName>
    <definedName name="SCDPT4_090BEGINNG_19" localSheetId="7">GMIC_22A_SCDPT4!$U$27</definedName>
    <definedName name="SCDPT4_090BEGINNG_2" localSheetId="7">GMIC_22A_SCDPT4!$D$27</definedName>
    <definedName name="SCDPT4_090BEGINNG_20" localSheetId="7">GMIC_22A_SCDPT4!$V$27</definedName>
    <definedName name="SCDPT4_090BEGINNG_21" localSheetId="7">GMIC_22A_SCDPT4!$W$27</definedName>
    <definedName name="SCDPT4_090BEGINNG_22" localSheetId="7">GMIC_22A_SCDPT4!$X$27</definedName>
    <definedName name="SCDPT4_090BEGINNG_23" localSheetId="7">GMIC_22A_SCDPT4!$Y$27</definedName>
    <definedName name="SCDPT4_090BEGINNG_24" localSheetId="7">GMIC_22A_SCDPT4!$Z$27</definedName>
    <definedName name="SCDPT4_090BEGINNG_25" localSheetId="7">GMIC_22A_SCDPT4!$AA$27</definedName>
    <definedName name="SCDPT4_090BEGINNG_26" localSheetId="7">GMIC_22A_SCDPT4!$AB$27</definedName>
    <definedName name="SCDPT4_090BEGINNG_27" localSheetId="7">GMIC_22A_SCDPT4!$AC$27</definedName>
    <definedName name="SCDPT4_090BEGINNG_3" localSheetId="7">GMIC_22A_SCDPT4!$E$27</definedName>
    <definedName name="SCDPT4_090BEGINNG_4" localSheetId="7">GMIC_22A_SCDPT4!$F$27</definedName>
    <definedName name="SCDPT4_090BEGINNG_5" localSheetId="7">GMIC_22A_SCDPT4!$G$27</definedName>
    <definedName name="SCDPT4_090BEGINNG_6" localSheetId="7">GMIC_22A_SCDPT4!$H$27</definedName>
    <definedName name="SCDPT4_090BEGINNG_7" localSheetId="7">GMIC_22A_SCDPT4!$I$27</definedName>
    <definedName name="SCDPT4_090BEGINNG_8" localSheetId="7">GMIC_22A_SCDPT4!$J$27</definedName>
    <definedName name="SCDPT4_090BEGINNG_9" localSheetId="7">GMIC_22A_SCDPT4!$K$27</definedName>
    <definedName name="SCDPT4_090ENDINGG_10" localSheetId="7">GMIC_22A_SCDPT4!$L$36</definedName>
    <definedName name="SCDPT4_090ENDINGG_11" localSheetId="7">GMIC_22A_SCDPT4!$M$36</definedName>
    <definedName name="SCDPT4_090ENDINGG_12" localSheetId="7">GMIC_22A_SCDPT4!$N$36</definedName>
    <definedName name="SCDPT4_090ENDINGG_13" localSheetId="7">GMIC_22A_SCDPT4!$O$36</definedName>
    <definedName name="SCDPT4_090ENDINGG_14" localSheetId="7">GMIC_22A_SCDPT4!$P$36</definedName>
    <definedName name="SCDPT4_090ENDINGG_15" localSheetId="7">GMIC_22A_SCDPT4!$Q$36</definedName>
    <definedName name="SCDPT4_090ENDINGG_16" localSheetId="7">GMIC_22A_SCDPT4!$R$36</definedName>
    <definedName name="SCDPT4_090ENDINGG_17" localSheetId="7">GMIC_22A_SCDPT4!$S$36</definedName>
    <definedName name="SCDPT4_090ENDINGG_18" localSheetId="7">GMIC_22A_SCDPT4!$T$36</definedName>
    <definedName name="SCDPT4_090ENDINGG_19" localSheetId="7">GMIC_22A_SCDPT4!$U$36</definedName>
    <definedName name="SCDPT4_090ENDINGG_2" localSheetId="7">GMIC_22A_SCDPT4!$D$36</definedName>
    <definedName name="SCDPT4_090ENDINGG_20" localSheetId="7">GMIC_22A_SCDPT4!$V$36</definedName>
    <definedName name="SCDPT4_090ENDINGG_21" localSheetId="7">GMIC_22A_SCDPT4!$W$36</definedName>
    <definedName name="SCDPT4_090ENDINGG_22" localSheetId="7">GMIC_22A_SCDPT4!$X$36</definedName>
    <definedName name="SCDPT4_090ENDINGG_23" localSheetId="7">GMIC_22A_SCDPT4!$Y$36</definedName>
    <definedName name="SCDPT4_090ENDINGG_24" localSheetId="7">GMIC_22A_SCDPT4!$Z$36</definedName>
    <definedName name="SCDPT4_090ENDINGG_25" localSheetId="7">GMIC_22A_SCDPT4!$AA$36</definedName>
    <definedName name="SCDPT4_090ENDINGG_26" localSheetId="7">GMIC_22A_SCDPT4!$AB$36</definedName>
    <definedName name="SCDPT4_090ENDINGG_27" localSheetId="7">GMIC_22A_SCDPT4!$AC$36</definedName>
    <definedName name="SCDPT4_090ENDINGG_3" localSheetId="7">GMIC_22A_SCDPT4!$E$36</definedName>
    <definedName name="SCDPT4_090ENDINGG_4" localSheetId="7">GMIC_22A_SCDPT4!$F$36</definedName>
    <definedName name="SCDPT4_090ENDINGG_5" localSheetId="7">GMIC_22A_SCDPT4!$G$36</definedName>
    <definedName name="SCDPT4_090ENDINGG_6" localSheetId="7">GMIC_22A_SCDPT4!$H$36</definedName>
    <definedName name="SCDPT4_090ENDINGG_7" localSheetId="7">GMIC_22A_SCDPT4!$I$36</definedName>
    <definedName name="SCDPT4_090ENDINGG_8" localSheetId="7">GMIC_22A_SCDPT4!$J$36</definedName>
    <definedName name="SCDPT4_090ENDINGG_9" localSheetId="7">GMIC_22A_SCDPT4!$K$36</definedName>
    <definedName name="SCDPT4_1100000000_Range" localSheetId="7">GMIC_22A_SCDPT4!$B$38:$AC$324</definedName>
    <definedName name="SCDPT4_1100000001_1" localSheetId="7">GMIC_22A_SCDPT4!$C$39</definedName>
    <definedName name="SCDPT4_1100000001_10" localSheetId="7">GMIC_22A_SCDPT4!$L$39</definedName>
    <definedName name="SCDPT4_1100000001_11" localSheetId="7">GMIC_22A_SCDPT4!$M$39</definedName>
    <definedName name="SCDPT4_1100000001_12" localSheetId="7">GMIC_22A_SCDPT4!$N$39</definedName>
    <definedName name="SCDPT4_1100000001_13" localSheetId="7">GMIC_22A_SCDPT4!$O$39</definedName>
    <definedName name="SCDPT4_1100000001_14" localSheetId="7">GMIC_22A_SCDPT4!$P$39</definedName>
    <definedName name="SCDPT4_1100000001_15" localSheetId="7">GMIC_22A_SCDPT4!$Q$39</definedName>
    <definedName name="SCDPT4_1100000001_16" localSheetId="7">GMIC_22A_SCDPT4!$R$39</definedName>
    <definedName name="SCDPT4_1100000001_17" localSheetId="7">GMIC_22A_SCDPT4!$S$39</definedName>
    <definedName name="SCDPT4_1100000001_18" localSheetId="7">GMIC_22A_SCDPT4!$T$39</definedName>
    <definedName name="SCDPT4_1100000001_19" localSheetId="7">GMIC_22A_SCDPT4!$U$39</definedName>
    <definedName name="SCDPT4_1100000001_2" localSheetId="7">GMIC_22A_SCDPT4!$D$39</definedName>
    <definedName name="SCDPT4_1100000001_20" localSheetId="7">GMIC_22A_SCDPT4!$V$39</definedName>
    <definedName name="SCDPT4_1100000001_21" localSheetId="7">GMIC_22A_SCDPT4!$W$39</definedName>
    <definedName name="SCDPT4_1100000001_23" localSheetId="7">GMIC_22A_SCDPT4!$Y$39</definedName>
    <definedName name="SCDPT4_1100000001_24" localSheetId="7">GMIC_22A_SCDPT4!$Z$39</definedName>
    <definedName name="SCDPT4_1100000001_25" localSheetId="7">GMIC_22A_SCDPT4!$AA$39</definedName>
    <definedName name="SCDPT4_1100000001_26" localSheetId="7">GMIC_22A_SCDPT4!$AB$39</definedName>
    <definedName name="SCDPT4_1100000001_27" localSheetId="7">GMIC_22A_SCDPT4!$AC$39</definedName>
    <definedName name="SCDPT4_1100000001_3" localSheetId="7">GMIC_22A_SCDPT4!$E$39</definedName>
    <definedName name="SCDPT4_1100000001_4" localSheetId="7">GMIC_22A_SCDPT4!$F$39</definedName>
    <definedName name="SCDPT4_1100000001_5" localSheetId="7">GMIC_22A_SCDPT4!$G$39</definedName>
    <definedName name="SCDPT4_1100000001_7" localSheetId="7">GMIC_22A_SCDPT4!$I$39</definedName>
    <definedName name="SCDPT4_1100000001_8" localSheetId="7">GMIC_22A_SCDPT4!$J$39</definedName>
    <definedName name="SCDPT4_1100000001_9" localSheetId="7">GMIC_22A_SCDPT4!$K$39</definedName>
    <definedName name="SCDPT4_1109999999_10" localSheetId="7">GMIC_22A_SCDPT4!$L$325</definedName>
    <definedName name="SCDPT4_1109999999_11" localSheetId="7">GMIC_22A_SCDPT4!$M$325</definedName>
    <definedName name="SCDPT4_1109999999_12" localSheetId="7">GMIC_22A_SCDPT4!$N$325</definedName>
    <definedName name="SCDPT4_1109999999_13" localSheetId="7">GMIC_22A_SCDPT4!$O$325</definedName>
    <definedName name="SCDPT4_1109999999_14" localSheetId="7">GMIC_22A_SCDPT4!$P$325</definedName>
    <definedName name="SCDPT4_1109999999_15" localSheetId="7">GMIC_22A_SCDPT4!$Q$325</definedName>
    <definedName name="SCDPT4_1109999999_16" localSheetId="7">GMIC_22A_SCDPT4!$R$325</definedName>
    <definedName name="SCDPT4_1109999999_17" localSheetId="7">GMIC_22A_SCDPT4!$S$325</definedName>
    <definedName name="SCDPT4_1109999999_18" localSheetId="7">GMIC_22A_SCDPT4!$T$325</definedName>
    <definedName name="SCDPT4_1109999999_19" localSheetId="7">GMIC_22A_SCDPT4!$U$325</definedName>
    <definedName name="SCDPT4_1109999999_20" localSheetId="7">GMIC_22A_SCDPT4!$V$325</definedName>
    <definedName name="SCDPT4_1109999999_7" localSheetId="7">GMIC_22A_SCDPT4!$I$325</definedName>
    <definedName name="SCDPT4_1109999999_8" localSheetId="7">GMIC_22A_SCDPT4!$J$325</definedName>
    <definedName name="SCDPT4_1109999999_9" localSheetId="7">GMIC_22A_SCDPT4!$K$325</definedName>
    <definedName name="SCDPT4_110BEGINNG_1" localSheetId="7">GMIC_22A_SCDPT4!$C$38</definedName>
    <definedName name="SCDPT4_110BEGINNG_10" localSheetId="7">GMIC_22A_SCDPT4!$L$38</definedName>
    <definedName name="SCDPT4_110BEGINNG_11" localSheetId="7">GMIC_22A_SCDPT4!$M$38</definedName>
    <definedName name="SCDPT4_110BEGINNG_12" localSheetId="7">GMIC_22A_SCDPT4!$N$38</definedName>
    <definedName name="SCDPT4_110BEGINNG_13" localSheetId="7">GMIC_22A_SCDPT4!$O$38</definedName>
    <definedName name="SCDPT4_110BEGINNG_14" localSheetId="7">GMIC_22A_SCDPT4!$P$38</definedName>
    <definedName name="SCDPT4_110BEGINNG_15" localSheetId="7">GMIC_22A_SCDPT4!$Q$38</definedName>
    <definedName name="SCDPT4_110BEGINNG_16" localSheetId="7">GMIC_22A_SCDPT4!$R$38</definedName>
    <definedName name="SCDPT4_110BEGINNG_17" localSheetId="7">GMIC_22A_SCDPT4!$S$38</definedName>
    <definedName name="SCDPT4_110BEGINNG_18" localSheetId="7">GMIC_22A_SCDPT4!$T$38</definedName>
    <definedName name="SCDPT4_110BEGINNG_19" localSheetId="7">GMIC_22A_SCDPT4!$U$38</definedName>
    <definedName name="SCDPT4_110BEGINNG_2" localSheetId="7">GMIC_22A_SCDPT4!$D$38</definedName>
    <definedName name="SCDPT4_110BEGINNG_20" localSheetId="7">GMIC_22A_SCDPT4!$V$38</definedName>
    <definedName name="SCDPT4_110BEGINNG_21" localSheetId="7">GMIC_22A_SCDPT4!$W$38</definedName>
    <definedName name="SCDPT4_110BEGINNG_22" localSheetId="7">GMIC_22A_SCDPT4!$X$38</definedName>
    <definedName name="SCDPT4_110BEGINNG_23" localSheetId="7">GMIC_22A_SCDPT4!$Y$38</definedName>
    <definedName name="SCDPT4_110BEGINNG_24" localSheetId="7">GMIC_22A_SCDPT4!$Z$38</definedName>
    <definedName name="SCDPT4_110BEGINNG_25" localSheetId="7">GMIC_22A_SCDPT4!$AA$38</definedName>
    <definedName name="SCDPT4_110BEGINNG_26" localSheetId="7">GMIC_22A_SCDPT4!$AB$38</definedName>
    <definedName name="SCDPT4_110BEGINNG_27" localSheetId="7">GMIC_22A_SCDPT4!$AC$38</definedName>
    <definedName name="SCDPT4_110BEGINNG_3" localSheetId="7">GMIC_22A_SCDPT4!$E$38</definedName>
    <definedName name="SCDPT4_110BEGINNG_4" localSheetId="7">GMIC_22A_SCDPT4!$F$38</definedName>
    <definedName name="SCDPT4_110BEGINNG_5" localSheetId="7">GMIC_22A_SCDPT4!$G$38</definedName>
    <definedName name="SCDPT4_110BEGINNG_6" localSheetId="7">GMIC_22A_SCDPT4!$H$38</definedName>
    <definedName name="SCDPT4_110BEGINNG_7" localSheetId="7">GMIC_22A_SCDPT4!$I$38</definedName>
    <definedName name="SCDPT4_110BEGINNG_8" localSheetId="7">GMIC_22A_SCDPT4!$J$38</definedName>
    <definedName name="SCDPT4_110BEGINNG_9" localSheetId="7">GMIC_22A_SCDPT4!$K$38</definedName>
    <definedName name="SCDPT4_110ENDINGG_10" localSheetId="7">GMIC_22A_SCDPT4!$L$324</definedName>
    <definedName name="SCDPT4_110ENDINGG_11" localSheetId="7">GMIC_22A_SCDPT4!$M$324</definedName>
    <definedName name="SCDPT4_110ENDINGG_12" localSheetId="7">GMIC_22A_SCDPT4!$N$324</definedName>
    <definedName name="SCDPT4_110ENDINGG_13" localSheetId="7">GMIC_22A_SCDPT4!$O$324</definedName>
    <definedName name="SCDPT4_110ENDINGG_14" localSheetId="7">GMIC_22A_SCDPT4!$P$324</definedName>
    <definedName name="SCDPT4_110ENDINGG_15" localSheetId="7">GMIC_22A_SCDPT4!$Q$324</definedName>
    <definedName name="SCDPT4_110ENDINGG_16" localSheetId="7">GMIC_22A_SCDPT4!$R$324</definedName>
    <definedName name="SCDPT4_110ENDINGG_17" localSheetId="7">GMIC_22A_SCDPT4!$S$324</definedName>
    <definedName name="SCDPT4_110ENDINGG_18" localSheetId="7">GMIC_22A_SCDPT4!$T$324</definedName>
    <definedName name="SCDPT4_110ENDINGG_19" localSheetId="7">GMIC_22A_SCDPT4!$U$324</definedName>
    <definedName name="SCDPT4_110ENDINGG_2" localSheetId="7">GMIC_22A_SCDPT4!$D$324</definedName>
    <definedName name="SCDPT4_110ENDINGG_20" localSheetId="7">GMIC_22A_SCDPT4!$V$324</definedName>
    <definedName name="SCDPT4_110ENDINGG_21" localSheetId="7">GMIC_22A_SCDPT4!$W$324</definedName>
    <definedName name="SCDPT4_110ENDINGG_22" localSheetId="7">GMIC_22A_SCDPT4!$X$324</definedName>
    <definedName name="SCDPT4_110ENDINGG_23" localSheetId="7">GMIC_22A_SCDPT4!$Y$324</definedName>
    <definedName name="SCDPT4_110ENDINGG_24" localSheetId="7">GMIC_22A_SCDPT4!$Z$324</definedName>
    <definedName name="SCDPT4_110ENDINGG_25" localSheetId="7">GMIC_22A_SCDPT4!$AA$324</definedName>
    <definedName name="SCDPT4_110ENDINGG_26" localSheetId="7">GMIC_22A_SCDPT4!$AB$324</definedName>
    <definedName name="SCDPT4_110ENDINGG_27" localSheetId="7">GMIC_22A_SCDPT4!$AC$324</definedName>
    <definedName name="SCDPT4_110ENDINGG_3" localSheetId="7">GMIC_22A_SCDPT4!$E$324</definedName>
    <definedName name="SCDPT4_110ENDINGG_4" localSheetId="7">GMIC_22A_SCDPT4!$F$324</definedName>
    <definedName name="SCDPT4_110ENDINGG_5" localSheetId="7">GMIC_22A_SCDPT4!$G$324</definedName>
    <definedName name="SCDPT4_110ENDINGG_6" localSheetId="7">GMIC_22A_SCDPT4!$H$324</definedName>
    <definedName name="SCDPT4_110ENDINGG_7" localSheetId="7">GMIC_22A_SCDPT4!$I$324</definedName>
    <definedName name="SCDPT4_110ENDINGG_8" localSheetId="7">GMIC_22A_SCDPT4!$J$324</definedName>
    <definedName name="SCDPT4_110ENDINGG_9" localSheetId="7">GMIC_22A_SCDPT4!$K$324</definedName>
    <definedName name="SCDPT4_1300000000_Range" localSheetId="7">GMIC_22A_SCDPT4!$B$326:$AC$328</definedName>
    <definedName name="SCDPT4_1309999999_10" localSheetId="7">GMIC_22A_SCDPT4!$L$329</definedName>
    <definedName name="SCDPT4_1309999999_11" localSheetId="7">GMIC_22A_SCDPT4!$M$329</definedName>
    <definedName name="SCDPT4_1309999999_12" localSheetId="7">GMIC_22A_SCDPT4!$N$329</definedName>
    <definedName name="SCDPT4_1309999999_13" localSheetId="7">GMIC_22A_SCDPT4!$O$329</definedName>
    <definedName name="SCDPT4_1309999999_14" localSheetId="7">GMIC_22A_SCDPT4!$P$329</definedName>
    <definedName name="SCDPT4_1309999999_15" localSheetId="7">GMIC_22A_SCDPT4!$Q$329</definedName>
    <definedName name="SCDPT4_1309999999_16" localSheetId="7">GMIC_22A_SCDPT4!$R$329</definedName>
    <definedName name="SCDPT4_1309999999_17" localSheetId="7">GMIC_22A_SCDPT4!$S$329</definedName>
    <definedName name="SCDPT4_1309999999_18" localSheetId="7">GMIC_22A_SCDPT4!$T$329</definedName>
    <definedName name="SCDPT4_1309999999_19" localSheetId="7">GMIC_22A_SCDPT4!$U$329</definedName>
    <definedName name="SCDPT4_1309999999_20" localSheetId="7">GMIC_22A_SCDPT4!$V$329</definedName>
    <definedName name="SCDPT4_1309999999_7" localSheetId="7">GMIC_22A_SCDPT4!$I$329</definedName>
    <definedName name="SCDPT4_1309999999_8" localSheetId="7">GMIC_22A_SCDPT4!$J$329</definedName>
    <definedName name="SCDPT4_1309999999_9" localSheetId="7">GMIC_22A_SCDPT4!$K$329</definedName>
    <definedName name="SCDPT4_130BEGINNG_1" localSheetId="7">GMIC_22A_SCDPT4!$C$326</definedName>
    <definedName name="SCDPT4_130BEGINNG_10" localSheetId="7">GMIC_22A_SCDPT4!$L$326</definedName>
    <definedName name="SCDPT4_130BEGINNG_11" localSheetId="7">GMIC_22A_SCDPT4!$M$326</definedName>
    <definedName name="SCDPT4_130BEGINNG_12" localSheetId="7">GMIC_22A_SCDPT4!$N$326</definedName>
    <definedName name="SCDPT4_130BEGINNG_13" localSheetId="7">GMIC_22A_SCDPT4!$O$326</definedName>
    <definedName name="SCDPT4_130BEGINNG_14" localSheetId="7">GMIC_22A_SCDPT4!$P$326</definedName>
    <definedName name="SCDPT4_130BEGINNG_15" localSheetId="7">GMIC_22A_SCDPT4!$Q$326</definedName>
    <definedName name="SCDPT4_130BEGINNG_16" localSheetId="7">GMIC_22A_SCDPT4!$R$326</definedName>
    <definedName name="SCDPT4_130BEGINNG_17" localSheetId="7">GMIC_22A_SCDPT4!$S$326</definedName>
    <definedName name="SCDPT4_130BEGINNG_18" localSheetId="7">GMIC_22A_SCDPT4!$T$326</definedName>
    <definedName name="SCDPT4_130BEGINNG_19" localSheetId="7">GMIC_22A_SCDPT4!$U$326</definedName>
    <definedName name="SCDPT4_130BEGINNG_2" localSheetId="7">GMIC_22A_SCDPT4!$D$326</definedName>
    <definedName name="SCDPT4_130BEGINNG_20" localSheetId="7">GMIC_22A_SCDPT4!$V$326</definedName>
    <definedName name="SCDPT4_130BEGINNG_21" localSheetId="7">GMIC_22A_SCDPT4!$W$326</definedName>
    <definedName name="SCDPT4_130BEGINNG_22" localSheetId="7">GMIC_22A_SCDPT4!$X$326</definedName>
    <definedName name="SCDPT4_130BEGINNG_23" localSheetId="7">GMIC_22A_SCDPT4!$Y$326</definedName>
    <definedName name="SCDPT4_130BEGINNG_24" localSheetId="7">GMIC_22A_SCDPT4!$Z$326</definedName>
    <definedName name="SCDPT4_130BEGINNG_25" localSheetId="7">GMIC_22A_SCDPT4!$AA$326</definedName>
    <definedName name="SCDPT4_130BEGINNG_26" localSheetId="7">GMIC_22A_SCDPT4!$AB$326</definedName>
    <definedName name="SCDPT4_130BEGINNG_27" localSheetId="7">GMIC_22A_SCDPT4!$AC$326</definedName>
    <definedName name="SCDPT4_130BEGINNG_3" localSheetId="7">GMIC_22A_SCDPT4!$E$326</definedName>
    <definedName name="SCDPT4_130BEGINNG_4" localSheetId="7">GMIC_22A_SCDPT4!$F$326</definedName>
    <definedName name="SCDPT4_130BEGINNG_5" localSheetId="7">GMIC_22A_SCDPT4!$G$326</definedName>
    <definedName name="SCDPT4_130BEGINNG_6" localSheetId="7">GMIC_22A_SCDPT4!$H$326</definedName>
    <definedName name="SCDPT4_130BEGINNG_7" localSheetId="7">GMIC_22A_SCDPT4!$I$326</definedName>
    <definedName name="SCDPT4_130BEGINNG_8" localSheetId="7">GMIC_22A_SCDPT4!$J$326</definedName>
    <definedName name="SCDPT4_130BEGINNG_9" localSheetId="7">GMIC_22A_SCDPT4!$K$326</definedName>
    <definedName name="SCDPT4_130ENDINGG_10" localSheetId="7">GMIC_22A_SCDPT4!$L$328</definedName>
    <definedName name="SCDPT4_130ENDINGG_11" localSheetId="7">GMIC_22A_SCDPT4!$M$328</definedName>
    <definedName name="SCDPT4_130ENDINGG_12" localSheetId="7">GMIC_22A_SCDPT4!$N$328</definedName>
    <definedName name="SCDPT4_130ENDINGG_13" localSheetId="7">GMIC_22A_SCDPT4!$O$328</definedName>
    <definedName name="SCDPT4_130ENDINGG_14" localSheetId="7">GMIC_22A_SCDPT4!$P$328</definedName>
    <definedName name="SCDPT4_130ENDINGG_15" localSheetId="7">GMIC_22A_SCDPT4!$Q$328</definedName>
    <definedName name="SCDPT4_130ENDINGG_16" localSheetId="7">GMIC_22A_SCDPT4!$R$328</definedName>
    <definedName name="SCDPT4_130ENDINGG_17" localSheetId="7">GMIC_22A_SCDPT4!$S$328</definedName>
    <definedName name="SCDPT4_130ENDINGG_18" localSheetId="7">GMIC_22A_SCDPT4!$T$328</definedName>
    <definedName name="SCDPT4_130ENDINGG_19" localSheetId="7">GMIC_22A_SCDPT4!$U$328</definedName>
    <definedName name="SCDPT4_130ENDINGG_2" localSheetId="7">GMIC_22A_SCDPT4!$D$328</definedName>
    <definedName name="SCDPT4_130ENDINGG_20" localSheetId="7">GMIC_22A_SCDPT4!$V$328</definedName>
    <definedName name="SCDPT4_130ENDINGG_21" localSheetId="7">GMIC_22A_SCDPT4!$W$328</definedName>
    <definedName name="SCDPT4_130ENDINGG_22" localSheetId="7">GMIC_22A_SCDPT4!$X$328</definedName>
    <definedName name="SCDPT4_130ENDINGG_23" localSheetId="7">GMIC_22A_SCDPT4!$Y$328</definedName>
    <definedName name="SCDPT4_130ENDINGG_24" localSheetId="7">GMIC_22A_SCDPT4!$Z$328</definedName>
    <definedName name="SCDPT4_130ENDINGG_25" localSheetId="7">GMIC_22A_SCDPT4!$AA$328</definedName>
    <definedName name="SCDPT4_130ENDINGG_26" localSheetId="7">GMIC_22A_SCDPT4!$AB$328</definedName>
    <definedName name="SCDPT4_130ENDINGG_27" localSheetId="7">GMIC_22A_SCDPT4!$AC$328</definedName>
    <definedName name="SCDPT4_130ENDINGG_3" localSheetId="7">GMIC_22A_SCDPT4!$E$328</definedName>
    <definedName name="SCDPT4_130ENDINGG_4" localSheetId="7">GMIC_22A_SCDPT4!$F$328</definedName>
    <definedName name="SCDPT4_130ENDINGG_5" localSheetId="7">GMIC_22A_SCDPT4!$G$328</definedName>
    <definedName name="SCDPT4_130ENDINGG_6" localSheetId="7">GMIC_22A_SCDPT4!$H$328</definedName>
    <definedName name="SCDPT4_130ENDINGG_7" localSheetId="7">GMIC_22A_SCDPT4!$I$328</definedName>
    <definedName name="SCDPT4_130ENDINGG_8" localSheetId="7">GMIC_22A_SCDPT4!$J$328</definedName>
    <definedName name="SCDPT4_130ENDINGG_9" localSheetId="7">GMIC_22A_SCDPT4!$K$328</definedName>
    <definedName name="SCDPT4_1500000000_Range" localSheetId="7">GMIC_22A_SCDPT4!$B$330:$AC$332</definedName>
    <definedName name="SCDPT4_1509999999_10" localSheetId="7">GMIC_22A_SCDPT4!$L$333</definedName>
    <definedName name="SCDPT4_1509999999_11" localSheetId="7">GMIC_22A_SCDPT4!$M$333</definedName>
    <definedName name="SCDPT4_1509999999_12" localSheetId="7">GMIC_22A_SCDPT4!$N$333</definedName>
    <definedName name="SCDPT4_1509999999_13" localSheetId="7">GMIC_22A_SCDPT4!$O$333</definedName>
    <definedName name="SCDPT4_1509999999_14" localSheetId="7">GMIC_22A_SCDPT4!$P$333</definedName>
    <definedName name="SCDPT4_1509999999_15" localSheetId="7">GMIC_22A_SCDPT4!$Q$333</definedName>
    <definedName name="SCDPT4_1509999999_16" localSheetId="7">GMIC_22A_SCDPT4!$R$333</definedName>
    <definedName name="SCDPT4_1509999999_17" localSheetId="7">GMIC_22A_SCDPT4!$S$333</definedName>
    <definedName name="SCDPT4_1509999999_18" localSheetId="7">GMIC_22A_SCDPT4!$T$333</definedName>
    <definedName name="SCDPT4_1509999999_19" localSheetId="7">GMIC_22A_SCDPT4!$U$333</definedName>
    <definedName name="SCDPT4_1509999999_20" localSheetId="7">GMIC_22A_SCDPT4!$V$333</definedName>
    <definedName name="SCDPT4_1509999999_7" localSheetId="7">GMIC_22A_SCDPT4!$I$333</definedName>
    <definedName name="SCDPT4_1509999999_8" localSheetId="7">GMIC_22A_SCDPT4!$J$333</definedName>
    <definedName name="SCDPT4_1509999999_9" localSheetId="7">GMIC_22A_SCDPT4!$K$333</definedName>
    <definedName name="SCDPT4_150BEGINNG_1" localSheetId="7">GMIC_22A_SCDPT4!$C$330</definedName>
    <definedName name="SCDPT4_150BEGINNG_10" localSheetId="7">GMIC_22A_SCDPT4!$L$330</definedName>
    <definedName name="SCDPT4_150BEGINNG_11" localSheetId="7">GMIC_22A_SCDPT4!$M$330</definedName>
    <definedName name="SCDPT4_150BEGINNG_12" localSheetId="7">GMIC_22A_SCDPT4!$N$330</definedName>
    <definedName name="SCDPT4_150BEGINNG_13" localSheetId="7">GMIC_22A_SCDPT4!$O$330</definedName>
    <definedName name="SCDPT4_150BEGINNG_14" localSheetId="7">GMIC_22A_SCDPT4!$P$330</definedName>
    <definedName name="SCDPT4_150BEGINNG_15" localSheetId="7">GMIC_22A_SCDPT4!$Q$330</definedName>
    <definedName name="SCDPT4_150BEGINNG_16" localSheetId="7">GMIC_22A_SCDPT4!$R$330</definedName>
    <definedName name="SCDPT4_150BEGINNG_17" localSheetId="7">GMIC_22A_SCDPT4!$S$330</definedName>
    <definedName name="SCDPT4_150BEGINNG_18" localSheetId="7">GMIC_22A_SCDPT4!$T$330</definedName>
    <definedName name="SCDPT4_150BEGINNG_19" localSheetId="7">GMIC_22A_SCDPT4!$U$330</definedName>
    <definedName name="SCDPT4_150BEGINNG_2" localSheetId="7">GMIC_22A_SCDPT4!$D$330</definedName>
    <definedName name="SCDPT4_150BEGINNG_20" localSheetId="7">GMIC_22A_SCDPT4!$V$330</definedName>
    <definedName name="SCDPT4_150BEGINNG_21" localSheetId="7">GMIC_22A_SCDPT4!$W$330</definedName>
    <definedName name="SCDPT4_150BEGINNG_22" localSheetId="7">GMIC_22A_SCDPT4!$X$330</definedName>
    <definedName name="SCDPT4_150BEGINNG_23" localSheetId="7">GMIC_22A_SCDPT4!$Y$330</definedName>
    <definedName name="SCDPT4_150BEGINNG_24" localSheetId="7">GMIC_22A_SCDPT4!$Z$330</definedName>
    <definedName name="SCDPT4_150BEGINNG_25" localSheetId="7">GMIC_22A_SCDPT4!$AA$330</definedName>
    <definedName name="SCDPT4_150BEGINNG_26" localSheetId="7">GMIC_22A_SCDPT4!$AB$330</definedName>
    <definedName name="SCDPT4_150BEGINNG_27" localSheetId="7">GMIC_22A_SCDPT4!$AC$330</definedName>
    <definedName name="SCDPT4_150BEGINNG_3" localSheetId="7">GMIC_22A_SCDPT4!$E$330</definedName>
    <definedName name="SCDPT4_150BEGINNG_4" localSheetId="7">GMIC_22A_SCDPT4!$F$330</definedName>
    <definedName name="SCDPT4_150BEGINNG_5" localSheetId="7">GMIC_22A_SCDPT4!$G$330</definedName>
    <definedName name="SCDPT4_150BEGINNG_6" localSheetId="7">GMIC_22A_SCDPT4!$H$330</definedName>
    <definedName name="SCDPT4_150BEGINNG_7" localSheetId="7">GMIC_22A_SCDPT4!$I$330</definedName>
    <definedName name="SCDPT4_150BEGINNG_8" localSheetId="7">GMIC_22A_SCDPT4!$J$330</definedName>
    <definedName name="SCDPT4_150BEGINNG_9" localSheetId="7">GMIC_22A_SCDPT4!$K$330</definedName>
    <definedName name="SCDPT4_150ENDINGG_10" localSheetId="7">GMIC_22A_SCDPT4!$L$332</definedName>
    <definedName name="SCDPT4_150ENDINGG_11" localSheetId="7">GMIC_22A_SCDPT4!$M$332</definedName>
    <definedName name="SCDPT4_150ENDINGG_12" localSheetId="7">GMIC_22A_SCDPT4!$N$332</definedName>
    <definedName name="SCDPT4_150ENDINGG_13" localSheetId="7">GMIC_22A_SCDPT4!$O$332</definedName>
    <definedName name="SCDPT4_150ENDINGG_14" localSheetId="7">GMIC_22A_SCDPT4!$P$332</definedName>
    <definedName name="SCDPT4_150ENDINGG_15" localSheetId="7">GMIC_22A_SCDPT4!$Q$332</definedName>
    <definedName name="SCDPT4_150ENDINGG_16" localSheetId="7">GMIC_22A_SCDPT4!$R$332</definedName>
    <definedName name="SCDPT4_150ENDINGG_17" localSheetId="7">GMIC_22A_SCDPT4!$S$332</definedName>
    <definedName name="SCDPT4_150ENDINGG_18" localSheetId="7">GMIC_22A_SCDPT4!$T$332</definedName>
    <definedName name="SCDPT4_150ENDINGG_19" localSheetId="7">GMIC_22A_SCDPT4!$U$332</definedName>
    <definedName name="SCDPT4_150ENDINGG_2" localSheetId="7">GMIC_22A_SCDPT4!$D$332</definedName>
    <definedName name="SCDPT4_150ENDINGG_20" localSheetId="7">GMIC_22A_SCDPT4!$V$332</definedName>
    <definedName name="SCDPT4_150ENDINGG_21" localSheetId="7">GMIC_22A_SCDPT4!$W$332</definedName>
    <definedName name="SCDPT4_150ENDINGG_22" localSheetId="7">GMIC_22A_SCDPT4!$X$332</definedName>
    <definedName name="SCDPT4_150ENDINGG_23" localSheetId="7">GMIC_22A_SCDPT4!$Y$332</definedName>
    <definedName name="SCDPT4_150ENDINGG_24" localSheetId="7">GMIC_22A_SCDPT4!$Z$332</definedName>
    <definedName name="SCDPT4_150ENDINGG_25" localSheetId="7">GMIC_22A_SCDPT4!$AA$332</definedName>
    <definedName name="SCDPT4_150ENDINGG_26" localSheetId="7">GMIC_22A_SCDPT4!$AB$332</definedName>
    <definedName name="SCDPT4_150ENDINGG_27" localSheetId="7">GMIC_22A_SCDPT4!$AC$332</definedName>
    <definedName name="SCDPT4_150ENDINGG_3" localSheetId="7">GMIC_22A_SCDPT4!$E$332</definedName>
    <definedName name="SCDPT4_150ENDINGG_4" localSheetId="7">GMIC_22A_SCDPT4!$F$332</definedName>
    <definedName name="SCDPT4_150ENDINGG_5" localSheetId="7">GMIC_22A_SCDPT4!$G$332</definedName>
    <definedName name="SCDPT4_150ENDINGG_6" localSheetId="7">GMIC_22A_SCDPT4!$H$332</definedName>
    <definedName name="SCDPT4_150ENDINGG_7" localSheetId="7">GMIC_22A_SCDPT4!$I$332</definedName>
    <definedName name="SCDPT4_150ENDINGG_8" localSheetId="7">GMIC_22A_SCDPT4!$J$332</definedName>
    <definedName name="SCDPT4_150ENDINGG_9" localSheetId="7">GMIC_22A_SCDPT4!$K$332</definedName>
    <definedName name="SCDPT4_1610000000_Range" localSheetId="7">GMIC_22A_SCDPT4!$B$334:$AC$336</definedName>
    <definedName name="SCDPT4_1619999999_10" localSheetId="7">GMIC_22A_SCDPT4!$L$337</definedName>
    <definedName name="SCDPT4_1619999999_11" localSheetId="7">GMIC_22A_SCDPT4!$M$337</definedName>
    <definedName name="SCDPT4_1619999999_12" localSheetId="7">GMIC_22A_SCDPT4!$N$337</definedName>
    <definedName name="SCDPT4_1619999999_13" localSheetId="7">GMIC_22A_SCDPT4!$O$337</definedName>
    <definedName name="SCDPT4_1619999999_14" localSheetId="7">GMIC_22A_SCDPT4!$P$337</definedName>
    <definedName name="SCDPT4_1619999999_15" localSheetId="7">GMIC_22A_SCDPT4!$Q$337</definedName>
    <definedName name="SCDPT4_1619999999_16" localSheetId="7">GMIC_22A_SCDPT4!$R$337</definedName>
    <definedName name="SCDPT4_1619999999_17" localSheetId="7">GMIC_22A_SCDPT4!$S$337</definedName>
    <definedName name="SCDPT4_1619999999_18" localSheetId="7">GMIC_22A_SCDPT4!$T$337</definedName>
    <definedName name="SCDPT4_1619999999_19" localSheetId="7">GMIC_22A_SCDPT4!$U$337</definedName>
    <definedName name="SCDPT4_1619999999_20" localSheetId="7">GMIC_22A_SCDPT4!$V$337</definedName>
    <definedName name="SCDPT4_1619999999_7" localSheetId="7">GMIC_22A_SCDPT4!$I$337</definedName>
    <definedName name="SCDPT4_1619999999_8" localSheetId="7">GMIC_22A_SCDPT4!$J$337</definedName>
    <definedName name="SCDPT4_1619999999_9" localSheetId="7">GMIC_22A_SCDPT4!$K$337</definedName>
    <definedName name="SCDPT4_161BEGINNG_1" localSheetId="7">GMIC_22A_SCDPT4!$C$334</definedName>
    <definedName name="SCDPT4_161BEGINNG_10" localSheetId="7">GMIC_22A_SCDPT4!$L$334</definedName>
    <definedName name="SCDPT4_161BEGINNG_11" localSheetId="7">GMIC_22A_SCDPT4!$M$334</definedName>
    <definedName name="SCDPT4_161BEGINNG_12" localSheetId="7">GMIC_22A_SCDPT4!$N$334</definedName>
    <definedName name="SCDPT4_161BEGINNG_13" localSheetId="7">GMIC_22A_SCDPT4!$O$334</definedName>
    <definedName name="SCDPT4_161BEGINNG_14" localSheetId="7">GMIC_22A_SCDPT4!$P$334</definedName>
    <definedName name="SCDPT4_161BEGINNG_15" localSheetId="7">GMIC_22A_SCDPT4!$Q$334</definedName>
    <definedName name="SCDPT4_161BEGINNG_16" localSheetId="7">GMIC_22A_SCDPT4!$R$334</definedName>
    <definedName name="SCDPT4_161BEGINNG_17" localSheetId="7">GMIC_22A_SCDPT4!$S$334</definedName>
    <definedName name="SCDPT4_161BEGINNG_18" localSheetId="7">GMIC_22A_SCDPT4!$T$334</definedName>
    <definedName name="SCDPT4_161BEGINNG_19" localSheetId="7">GMIC_22A_SCDPT4!$U$334</definedName>
    <definedName name="SCDPT4_161BEGINNG_2" localSheetId="7">GMIC_22A_SCDPT4!$D$334</definedName>
    <definedName name="SCDPT4_161BEGINNG_20" localSheetId="7">GMIC_22A_SCDPT4!$V$334</definedName>
    <definedName name="SCDPT4_161BEGINNG_21" localSheetId="7">GMIC_22A_SCDPT4!$W$334</definedName>
    <definedName name="SCDPT4_161BEGINNG_22" localSheetId="7">GMIC_22A_SCDPT4!$X$334</definedName>
    <definedName name="SCDPT4_161BEGINNG_23" localSheetId="7">GMIC_22A_SCDPT4!$Y$334</definedName>
    <definedName name="SCDPT4_161BEGINNG_24" localSheetId="7">GMIC_22A_SCDPT4!$Z$334</definedName>
    <definedName name="SCDPT4_161BEGINNG_25" localSheetId="7">GMIC_22A_SCDPT4!$AA$334</definedName>
    <definedName name="SCDPT4_161BEGINNG_26" localSheetId="7">GMIC_22A_SCDPT4!$AB$334</definedName>
    <definedName name="SCDPT4_161BEGINNG_27" localSheetId="7">GMIC_22A_SCDPT4!$AC$334</definedName>
    <definedName name="SCDPT4_161BEGINNG_3" localSheetId="7">GMIC_22A_SCDPT4!$E$334</definedName>
    <definedName name="SCDPT4_161BEGINNG_4" localSheetId="7">GMIC_22A_SCDPT4!$F$334</definedName>
    <definedName name="SCDPT4_161BEGINNG_5" localSheetId="7">GMIC_22A_SCDPT4!$G$334</definedName>
    <definedName name="SCDPT4_161BEGINNG_6" localSheetId="7">GMIC_22A_SCDPT4!$H$334</definedName>
    <definedName name="SCDPT4_161BEGINNG_7" localSheetId="7">GMIC_22A_SCDPT4!$I$334</definedName>
    <definedName name="SCDPT4_161BEGINNG_8" localSheetId="7">GMIC_22A_SCDPT4!$J$334</definedName>
    <definedName name="SCDPT4_161BEGINNG_9" localSheetId="7">GMIC_22A_SCDPT4!$K$334</definedName>
    <definedName name="SCDPT4_161ENDINGG_10" localSheetId="7">GMIC_22A_SCDPT4!$L$336</definedName>
    <definedName name="SCDPT4_161ENDINGG_11" localSheetId="7">GMIC_22A_SCDPT4!$M$336</definedName>
    <definedName name="SCDPT4_161ENDINGG_12" localSheetId="7">GMIC_22A_SCDPT4!$N$336</definedName>
    <definedName name="SCDPT4_161ENDINGG_13" localSheetId="7">GMIC_22A_SCDPT4!$O$336</definedName>
    <definedName name="SCDPT4_161ENDINGG_14" localSheetId="7">GMIC_22A_SCDPT4!$P$336</definedName>
    <definedName name="SCDPT4_161ENDINGG_15" localSheetId="7">GMIC_22A_SCDPT4!$Q$336</definedName>
    <definedName name="SCDPT4_161ENDINGG_16" localSheetId="7">GMIC_22A_SCDPT4!$R$336</definedName>
    <definedName name="SCDPT4_161ENDINGG_17" localSheetId="7">GMIC_22A_SCDPT4!$S$336</definedName>
    <definedName name="SCDPT4_161ENDINGG_18" localSheetId="7">GMIC_22A_SCDPT4!$T$336</definedName>
    <definedName name="SCDPT4_161ENDINGG_19" localSheetId="7">GMIC_22A_SCDPT4!$U$336</definedName>
    <definedName name="SCDPT4_161ENDINGG_2" localSheetId="7">GMIC_22A_SCDPT4!$D$336</definedName>
    <definedName name="SCDPT4_161ENDINGG_20" localSheetId="7">GMIC_22A_SCDPT4!$V$336</definedName>
    <definedName name="SCDPT4_161ENDINGG_21" localSheetId="7">GMIC_22A_SCDPT4!$W$336</definedName>
    <definedName name="SCDPT4_161ENDINGG_22" localSheetId="7">GMIC_22A_SCDPT4!$X$336</definedName>
    <definedName name="SCDPT4_161ENDINGG_23" localSheetId="7">GMIC_22A_SCDPT4!$Y$336</definedName>
    <definedName name="SCDPT4_161ENDINGG_24" localSheetId="7">GMIC_22A_SCDPT4!$Z$336</definedName>
    <definedName name="SCDPT4_161ENDINGG_25" localSheetId="7">GMIC_22A_SCDPT4!$AA$336</definedName>
    <definedName name="SCDPT4_161ENDINGG_26" localSheetId="7">GMIC_22A_SCDPT4!$AB$336</definedName>
    <definedName name="SCDPT4_161ENDINGG_27" localSheetId="7">GMIC_22A_SCDPT4!$AC$336</definedName>
    <definedName name="SCDPT4_161ENDINGG_3" localSheetId="7">GMIC_22A_SCDPT4!$E$336</definedName>
    <definedName name="SCDPT4_161ENDINGG_4" localSheetId="7">GMIC_22A_SCDPT4!$F$336</definedName>
    <definedName name="SCDPT4_161ENDINGG_5" localSheetId="7">GMIC_22A_SCDPT4!$G$336</definedName>
    <definedName name="SCDPT4_161ENDINGG_6" localSheetId="7">GMIC_22A_SCDPT4!$H$336</definedName>
    <definedName name="SCDPT4_161ENDINGG_7" localSheetId="7">GMIC_22A_SCDPT4!$I$336</definedName>
    <definedName name="SCDPT4_161ENDINGG_8" localSheetId="7">GMIC_22A_SCDPT4!$J$336</definedName>
    <definedName name="SCDPT4_161ENDINGG_9" localSheetId="7">GMIC_22A_SCDPT4!$K$336</definedName>
    <definedName name="SCDPT4_1900000000_Range" localSheetId="7">GMIC_22A_SCDPT4!$B$338:$AC$340</definedName>
    <definedName name="SCDPT4_1909999999_10" localSheetId="7">GMIC_22A_SCDPT4!$L$341</definedName>
    <definedName name="SCDPT4_1909999999_11" localSheetId="7">GMIC_22A_SCDPT4!$M$341</definedName>
    <definedName name="SCDPT4_1909999999_12" localSheetId="7">GMIC_22A_SCDPT4!$N$341</definedName>
    <definedName name="SCDPT4_1909999999_13" localSheetId="7">GMIC_22A_SCDPT4!$O$341</definedName>
    <definedName name="SCDPT4_1909999999_14" localSheetId="7">GMIC_22A_SCDPT4!$P$341</definedName>
    <definedName name="SCDPT4_1909999999_15" localSheetId="7">GMIC_22A_SCDPT4!$Q$341</definedName>
    <definedName name="SCDPT4_1909999999_16" localSheetId="7">GMIC_22A_SCDPT4!$R$341</definedName>
    <definedName name="SCDPT4_1909999999_17" localSheetId="7">GMIC_22A_SCDPT4!$S$341</definedName>
    <definedName name="SCDPT4_1909999999_18" localSheetId="7">GMIC_22A_SCDPT4!$T$341</definedName>
    <definedName name="SCDPT4_1909999999_19" localSheetId="7">GMIC_22A_SCDPT4!$U$341</definedName>
    <definedName name="SCDPT4_1909999999_20" localSheetId="7">GMIC_22A_SCDPT4!$V$341</definedName>
    <definedName name="SCDPT4_1909999999_7" localSheetId="7">GMIC_22A_SCDPT4!$I$341</definedName>
    <definedName name="SCDPT4_1909999999_8" localSheetId="7">GMIC_22A_SCDPT4!$J$341</definedName>
    <definedName name="SCDPT4_1909999999_9" localSheetId="7">GMIC_22A_SCDPT4!$K$341</definedName>
    <definedName name="SCDPT4_190BEGINNG_1" localSheetId="7">GMIC_22A_SCDPT4!$C$338</definedName>
    <definedName name="SCDPT4_190BEGINNG_10" localSheetId="7">GMIC_22A_SCDPT4!$L$338</definedName>
    <definedName name="SCDPT4_190BEGINNG_11" localSheetId="7">GMIC_22A_SCDPT4!$M$338</definedName>
    <definedName name="SCDPT4_190BEGINNG_12" localSheetId="7">GMIC_22A_SCDPT4!$N$338</definedName>
    <definedName name="SCDPT4_190BEGINNG_13" localSheetId="7">GMIC_22A_SCDPT4!$O$338</definedName>
    <definedName name="SCDPT4_190BEGINNG_14" localSheetId="7">GMIC_22A_SCDPT4!$P$338</definedName>
    <definedName name="SCDPT4_190BEGINNG_15" localSheetId="7">GMIC_22A_SCDPT4!$Q$338</definedName>
    <definedName name="SCDPT4_190BEGINNG_16" localSheetId="7">GMIC_22A_SCDPT4!$R$338</definedName>
    <definedName name="SCDPT4_190BEGINNG_17" localSheetId="7">GMIC_22A_SCDPT4!$S$338</definedName>
    <definedName name="SCDPT4_190BEGINNG_18" localSheetId="7">GMIC_22A_SCDPT4!$T$338</definedName>
    <definedName name="SCDPT4_190BEGINNG_19" localSheetId="7">GMIC_22A_SCDPT4!$U$338</definedName>
    <definedName name="SCDPT4_190BEGINNG_2" localSheetId="7">GMIC_22A_SCDPT4!$D$338</definedName>
    <definedName name="SCDPT4_190BEGINNG_20" localSheetId="7">GMIC_22A_SCDPT4!$V$338</definedName>
    <definedName name="SCDPT4_190BEGINNG_21" localSheetId="7">GMIC_22A_SCDPT4!$W$338</definedName>
    <definedName name="SCDPT4_190BEGINNG_22" localSheetId="7">GMIC_22A_SCDPT4!$X$338</definedName>
    <definedName name="SCDPT4_190BEGINNG_23" localSheetId="7">GMIC_22A_SCDPT4!$Y$338</definedName>
    <definedName name="SCDPT4_190BEGINNG_24" localSheetId="7">GMIC_22A_SCDPT4!$Z$338</definedName>
    <definedName name="SCDPT4_190BEGINNG_25" localSheetId="7">GMIC_22A_SCDPT4!$AA$338</definedName>
    <definedName name="SCDPT4_190BEGINNG_26" localSheetId="7">GMIC_22A_SCDPT4!$AB$338</definedName>
    <definedName name="SCDPT4_190BEGINNG_27" localSheetId="7">GMIC_22A_SCDPT4!$AC$338</definedName>
    <definedName name="SCDPT4_190BEGINNG_3" localSheetId="7">GMIC_22A_SCDPT4!$E$338</definedName>
    <definedName name="SCDPT4_190BEGINNG_4" localSheetId="7">GMIC_22A_SCDPT4!$F$338</definedName>
    <definedName name="SCDPT4_190BEGINNG_5" localSheetId="7">GMIC_22A_SCDPT4!$G$338</definedName>
    <definedName name="SCDPT4_190BEGINNG_6" localSheetId="7">GMIC_22A_SCDPT4!$H$338</definedName>
    <definedName name="SCDPT4_190BEGINNG_7" localSheetId="7">GMIC_22A_SCDPT4!$I$338</definedName>
    <definedName name="SCDPT4_190BEGINNG_8" localSheetId="7">GMIC_22A_SCDPT4!$J$338</definedName>
    <definedName name="SCDPT4_190BEGINNG_9" localSheetId="7">GMIC_22A_SCDPT4!$K$338</definedName>
    <definedName name="SCDPT4_190ENDINGG_10" localSheetId="7">GMIC_22A_SCDPT4!$L$340</definedName>
    <definedName name="SCDPT4_190ENDINGG_11" localSheetId="7">GMIC_22A_SCDPT4!$M$340</definedName>
    <definedName name="SCDPT4_190ENDINGG_12" localSheetId="7">GMIC_22A_SCDPT4!$N$340</definedName>
    <definedName name="SCDPT4_190ENDINGG_13" localSheetId="7">GMIC_22A_SCDPT4!$O$340</definedName>
    <definedName name="SCDPT4_190ENDINGG_14" localSheetId="7">GMIC_22A_SCDPT4!$P$340</definedName>
    <definedName name="SCDPT4_190ENDINGG_15" localSheetId="7">GMIC_22A_SCDPT4!$Q$340</definedName>
    <definedName name="SCDPT4_190ENDINGG_16" localSheetId="7">GMIC_22A_SCDPT4!$R$340</definedName>
    <definedName name="SCDPT4_190ENDINGG_17" localSheetId="7">GMIC_22A_SCDPT4!$S$340</definedName>
    <definedName name="SCDPT4_190ENDINGG_18" localSheetId="7">GMIC_22A_SCDPT4!$T$340</definedName>
    <definedName name="SCDPT4_190ENDINGG_19" localSheetId="7">GMIC_22A_SCDPT4!$U$340</definedName>
    <definedName name="SCDPT4_190ENDINGG_2" localSheetId="7">GMIC_22A_SCDPT4!$D$340</definedName>
    <definedName name="SCDPT4_190ENDINGG_20" localSheetId="7">GMIC_22A_SCDPT4!$V$340</definedName>
    <definedName name="SCDPT4_190ENDINGG_21" localSheetId="7">GMIC_22A_SCDPT4!$W$340</definedName>
    <definedName name="SCDPT4_190ENDINGG_22" localSheetId="7">GMIC_22A_SCDPT4!$X$340</definedName>
    <definedName name="SCDPT4_190ENDINGG_23" localSheetId="7">GMIC_22A_SCDPT4!$Y$340</definedName>
    <definedName name="SCDPT4_190ENDINGG_24" localSheetId="7">GMIC_22A_SCDPT4!$Z$340</definedName>
    <definedName name="SCDPT4_190ENDINGG_25" localSheetId="7">GMIC_22A_SCDPT4!$AA$340</definedName>
    <definedName name="SCDPT4_190ENDINGG_26" localSheetId="7">GMIC_22A_SCDPT4!$AB$340</definedName>
    <definedName name="SCDPT4_190ENDINGG_27" localSheetId="7">GMIC_22A_SCDPT4!$AC$340</definedName>
    <definedName name="SCDPT4_190ENDINGG_3" localSheetId="7">GMIC_22A_SCDPT4!$E$340</definedName>
    <definedName name="SCDPT4_190ENDINGG_4" localSheetId="7">GMIC_22A_SCDPT4!$F$340</definedName>
    <definedName name="SCDPT4_190ENDINGG_5" localSheetId="7">GMIC_22A_SCDPT4!$G$340</definedName>
    <definedName name="SCDPT4_190ENDINGG_6" localSheetId="7">GMIC_22A_SCDPT4!$H$340</definedName>
    <definedName name="SCDPT4_190ENDINGG_7" localSheetId="7">GMIC_22A_SCDPT4!$I$340</definedName>
    <definedName name="SCDPT4_190ENDINGG_8" localSheetId="7">GMIC_22A_SCDPT4!$J$340</definedName>
    <definedName name="SCDPT4_190ENDINGG_9" localSheetId="7">GMIC_22A_SCDPT4!$K$340</definedName>
    <definedName name="SCDPT4_2010000000_Range" localSheetId="7">GMIC_22A_SCDPT4!$B$342:$AC$344</definedName>
    <definedName name="SCDPT4_2019999999_10" localSheetId="7">GMIC_22A_SCDPT4!$L$345</definedName>
    <definedName name="SCDPT4_2019999999_11" localSheetId="7">GMIC_22A_SCDPT4!$M$345</definedName>
    <definedName name="SCDPT4_2019999999_12" localSheetId="7">GMIC_22A_SCDPT4!$N$345</definedName>
    <definedName name="SCDPT4_2019999999_13" localSheetId="7">GMIC_22A_SCDPT4!$O$345</definedName>
    <definedName name="SCDPT4_2019999999_14" localSheetId="7">GMIC_22A_SCDPT4!$P$345</definedName>
    <definedName name="SCDPT4_2019999999_15" localSheetId="7">GMIC_22A_SCDPT4!$Q$345</definedName>
    <definedName name="SCDPT4_2019999999_16" localSheetId="7">GMIC_22A_SCDPT4!$R$345</definedName>
    <definedName name="SCDPT4_2019999999_17" localSheetId="7">GMIC_22A_SCDPT4!$S$345</definedName>
    <definedName name="SCDPT4_2019999999_18" localSheetId="7">GMIC_22A_SCDPT4!$T$345</definedName>
    <definedName name="SCDPT4_2019999999_19" localSheetId="7">GMIC_22A_SCDPT4!$U$345</definedName>
    <definedName name="SCDPT4_2019999999_20" localSheetId="7">GMIC_22A_SCDPT4!$V$345</definedName>
    <definedName name="SCDPT4_2019999999_7" localSheetId="7">GMIC_22A_SCDPT4!$I$345</definedName>
    <definedName name="SCDPT4_2019999999_8" localSheetId="7">GMIC_22A_SCDPT4!$J$345</definedName>
    <definedName name="SCDPT4_2019999999_9" localSheetId="7">GMIC_22A_SCDPT4!$K$345</definedName>
    <definedName name="SCDPT4_201BEGINNG_1" localSheetId="7">GMIC_22A_SCDPT4!$C$342</definedName>
    <definedName name="SCDPT4_201BEGINNG_10" localSheetId="7">GMIC_22A_SCDPT4!$L$342</definedName>
    <definedName name="SCDPT4_201BEGINNG_11" localSheetId="7">GMIC_22A_SCDPT4!$M$342</definedName>
    <definedName name="SCDPT4_201BEGINNG_12" localSheetId="7">GMIC_22A_SCDPT4!$N$342</definedName>
    <definedName name="SCDPT4_201BEGINNG_13" localSheetId="7">GMIC_22A_SCDPT4!$O$342</definedName>
    <definedName name="SCDPT4_201BEGINNG_14" localSheetId="7">GMIC_22A_SCDPT4!$P$342</definedName>
    <definedName name="SCDPT4_201BEGINNG_15" localSheetId="7">GMIC_22A_SCDPT4!$Q$342</definedName>
    <definedName name="SCDPT4_201BEGINNG_16" localSheetId="7">GMIC_22A_SCDPT4!$R$342</definedName>
    <definedName name="SCDPT4_201BEGINNG_17" localSheetId="7">GMIC_22A_SCDPT4!$S$342</definedName>
    <definedName name="SCDPT4_201BEGINNG_18" localSheetId="7">GMIC_22A_SCDPT4!$T$342</definedName>
    <definedName name="SCDPT4_201BEGINNG_19" localSheetId="7">GMIC_22A_SCDPT4!$U$342</definedName>
    <definedName name="SCDPT4_201BEGINNG_2" localSheetId="7">GMIC_22A_SCDPT4!$D$342</definedName>
    <definedName name="SCDPT4_201BEGINNG_20" localSheetId="7">GMIC_22A_SCDPT4!$V$342</definedName>
    <definedName name="SCDPT4_201BEGINNG_21" localSheetId="7">GMIC_22A_SCDPT4!$W$342</definedName>
    <definedName name="SCDPT4_201BEGINNG_22" localSheetId="7">GMIC_22A_SCDPT4!$X$342</definedName>
    <definedName name="SCDPT4_201BEGINNG_23" localSheetId="7">GMIC_22A_SCDPT4!$Y$342</definedName>
    <definedName name="SCDPT4_201BEGINNG_24" localSheetId="7">GMIC_22A_SCDPT4!$Z$342</definedName>
    <definedName name="SCDPT4_201BEGINNG_25" localSheetId="7">GMIC_22A_SCDPT4!$AA$342</definedName>
    <definedName name="SCDPT4_201BEGINNG_26" localSheetId="7">GMIC_22A_SCDPT4!$AB$342</definedName>
    <definedName name="SCDPT4_201BEGINNG_27" localSheetId="7">GMIC_22A_SCDPT4!$AC$342</definedName>
    <definedName name="SCDPT4_201BEGINNG_3" localSheetId="7">GMIC_22A_SCDPT4!$E$342</definedName>
    <definedName name="SCDPT4_201BEGINNG_4" localSheetId="7">GMIC_22A_SCDPT4!$F$342</definedName>
    <definedName name="SCDPT4_201BEGINNG_5" localSheetId="7">GMIC_22A_SCDPT4!$G$342</definedName>
    <definedName name="SCDPT4_201BEGINNG_6" localSheetId="7">GMIC_22A_SCDPT4!$H$342</definedName>
    <definedName name="SCDPT4_201BEGINNG_7" localSheetId="7">GMIC_22A_SCDPT4!$I$342</definedName>
    <definedName name="SCDPT4_201BEGINNG_8" localSheetId="7">GMIC_22A_SCDPT4!$J$342</definedName>
    <definedName name="SCDPT4_201BEGINNG_9" localSheetId="7">GMIC_22A_SCDPT4!$K$342</definedName>
    <definedName name="SCDPT4_201ENDINGG_10" localSheetId="7">GMIC_22A_SCDPT4!$L$344</definedName>
    <definedName name="SCDPT4_201ENDINGG_11" localSheetId="7">GMIC_22A_SCDPT4!$M$344</definedName>
    <definedName name="SCDPT4_201ENDINGG_12" localSheetId="7">GMIC_22A_SCDPT4!$N$344</definedName>
    <definedName name="SCDPT4_201ENDINGG_13" localSheetId="7">GMIC_22A_SCDPT4!$O$344</definedName>
    <definedName name="SCDPT4_201ENDINGG_14" localSheetId="7">GMIC_22A_SCDPT4!$P$344</definedName>
    <definedName name="SCDPT4_201ENDINGG_15" localSheetId="7">GMIC_22A_SCDPT4!$Q$344</definedName>
    <definedName name="SCDPT4_201ENDINGG_16" localSheetId="7">GMIC_22A_SCDPT4!$R$344</definedName>
    <definedName name="SCDPT4_201ENDINGG_17" localSheetId="7">GMIC_22A_SCDPT4!$S$344</definedName>
    <definedName name="SCDPT4_201ENDINGG_18" localSheetId="7">GMIC_22A_SCDPT4!$T$344</definedName>
    <definedName name="SCDPT4_201ENDINGG_19" localSheetId="7">GMIC_22A_SCDPT4!$U$344</definedName>
    <definedName name="SCDPT4_201ENDINGG_2" localSheetId="7">GMIC_22A_SCDPT4!$D$344</definedName>
    <definedName name="SCDPT4_201ENDINGG_20" localSheetId="7">GMIC_22A_SCDPT4!$V$344</definedName>
    <definedName name="SCDPT4_201ENDINGG_21" localSheetId="7">GMIC_22A_SCDPT4!$W$344</definedName>
    <definedName name="SCDPT4_201ENDINGG_22" localSheetId="7">GMIC_22A_SCDPT4!$X$344</definedName>
    <definedName name="SCDPT4_201ENDINGG_23" localSheetId="7">GMIC_22A_SCDPT4!$Y$344</definedName>
    <definedName name="SCDPT4_201ENDINGG_24" localSheetId="7">GMIC_22A_SCDPT4!$Z$344</definedName>
    <definedName name="SCDPT4_201ENDINGG_25" localSheetId="7">GMIC_22A_SCDPT4!$AA$344</definedName>
    <definedName name="SCDPT4_201ENDINGG_26" localSheetId="7">GMIC_22A_SCDPT4!$AB$344</definedName>
    <definedName name="SCDPT4_201ENDINGG_27" localSheetId="7">GMIC_22A_SCDPT4!$AC$344</definedName>
    <definedName name="SCDPT4_201ENDINGG_3" localSheetId="7">GMIC_22A_SCDPT4!$E$344</definedName>
    <definedName name="SCDPT4_201ENDINGG_4" localSheetId="7">GMIC_22A_SCDPT4!$F$344</definedName>
    <definedName name="SCDPT4_201ENDINGG_5" localSheetId="7">GMIC_22A_SCDPT4!$G$344</definedName>
    <definedName name="SCDPT4_201ENDINGG_6" localSheetId="7">GMIC_22A_SCDPT4!$H$344</definedName>
    <definedName name="SCDPT4_201ENDINGG_7" localSheetId="7">GMIC_22A_SCDPT4!$I$344</definedName>
    <definedName name="SCDPT4_201ENDINGG_8" localSheetId="7">GMIC_22A_SCDPT4!$J$344</definedName>
    <definedName name="SCDPT4_201ENDINGG_9" localSheetId="7">GMIC_22A_SCDPT4!$K$344</definedName>
    <definedName name="SCDPT4_2509999997_10" localSheetId="7">GMIC_22A_SCDPT4!$L$346</definedName>
    <definedName name="SCDPT4_2509999997_11" localSheetId="7">GMIC_22A_SCDPT4!$M$346</definedName>
    <definedName name="SCDPT4_2509999997_12" localSheetId="7">GMIC_22A_SCDPT4!$N$346</definedName>
    <definedName name="SCDPT4_2509999997_13" localSheetId="7">GMIC_22A_SCDPT4!$O$346</definedName>
    <definedName name="SCDPT4_2509999997_14" localSheetId="7">GMIC_22A_SCDPT4!$P$346</definedName>
    <definedName name="SCDPT4_2509999997_15" localSheetId="7">GMIC_22A_SCDPT4!$Q$346</definedName>
    <definedName name="SCDPT4_2509999997_16" localSheetId="7">GMIC_22A_SCDPT4!$R$346</definedName>
    <definedName name="SCDPT4_2509999997_17" localSheetId="7">GMIC_22A_SCDPT4!$S$346</definedName>
    <definedName name="SCDPT4_2509999997_18" localSheetId="7">GMIC_22A_SCDPT4!$T$346</definedName>
    <definedName name="SCDPT4_2509999997_19" localSheetId="7">GMIC_22A_SCDPT4!$U$346</definedName>
    <definedName name="SCDPT4_2509999997_20" localSheetId="7">GMIC_22A_SCDPT4!$V$346</definedName>
    <definedName name="SCDPT4_2509999997_7" localSheetId="7">GMIC_22A_SCDPT4!$I$346</definedName>
    <definedName name="SCDPT4_2509999997_8" localSheetId="7">GMIC_22A_SCDPT4!$J$346</definedName>
    <definedName name="SCDPT4_2509999997_9" localSheetId="7">GMIC_22A_SCDPT4!$K$346</definedName>
    <definedName name="SCDPT4_2509999998_10" localSheetId="7">GMIC_22A_SCDPT4!$L$347</definedName>
    <definedName name="SCDPT4_2509999998_11" localSheetId="7">GMIC_22A_SCDPT4!$M$347</definedName>
    <definedName name="SCDPT4_2509999998_12" localSheetId="7">GMIC_22A_SCDPT4!$N$347</definedName>
    <definedName name="SCDPT4_2509999998_13" localSheetId="7">GMIC_22A_SCDPT4!$O$347</definedName>
    <definedName name="SCDPT4_2509999998_14" localSheetId="7">GMIC_22A_SCDPT4!$P$347</definedName>
    <definedName name="SCDPT4_2509999998_15" localSheetId="7">GMIC_22A_SCDPT4!$Q$347</definedName>
    <definedName name="SCDPT4_2509999998_16" localSheetId="7">GMIC_22A_SCDPT4!$R$347</definedName>
    <definedName name="SCDPT4_2509999998_17" localSheetId="7">GMIC_22A_SCDPT4!$S$347</definedName>
    <definedName name="SCDPT4_2509999998_18" localSheetId="7">GMIC_22A_SCDPT4!$T$347</definedName>
    <definedName name="SCDPT4_2509999998_19" localSheetId="7">GMIC_22A_SCDPT4!$U$347</definedName>
    <definedName name="SCDPT4_2509999998_20" localSheetId="7">GMIC_22A_SCDPT4!$V$347</definedName>
    <definedName name="SCDPT4_2509999998_7" localSheetId="7">GMIC_22A_SCDPT4!$I$347</definedName>
    <definedName name="SCDPT4_2509999998_8" localSheetId="7">GMIC_22A_SCDPT4!$J$347</definedName>
    <definedName name="SCDPT4_2509999998_9" localSheetId="7">GMIC_22A_SCDPT4!$K$347</definedName>
    <definedName name="SCDPT4_2509999999_10" localSheetId="7">GMIC_22A_SCDPT4!$L$348</definedName>
    <definedName name="SCDPT4_2509999999_11" localSheetId="7">GMIC_22A_SCDPT4!$M$348</definedName>
    <definedName name="SCDPT4_2509999999_12" localSheetId="7">GMIC_22A_SCDPT4!$N$348</definedName>
    <definedName name="SCDPT4_2509999999_13" localSheetId="7">GMIC_22A_SCDPT4!$O$348</definedName>
    <definedName name="SCDPT4_2509999999_14" localSheetId="7">GMIC_22A_SCDPT4!$P$348</definedName>
    <definedName name="SCDPT4_2509999999_15" localSheetId="7">GMIC_22A_SCDPT4!$Q$348</definedName>
    <definedName name="SCDPT4_2509999999_16" localSheetId="7">GMIC_22A_SCDPT4!$R$348</definedName>
    <definedName name="SCDPT4_2509999999_17" localSheetId="7">GMIC_22A_SCDPT4!$S$348</definedName>
    <definedName name="SCDPT4_2509999999_18" localSheetId="7">GMIC_22A_SCDPT4!$T$348</definedName>
    <definedName name="SCDPT4_2509999999_19" localSheetId="7">GMIC_22A_SCDPT4!$U$348</definedName>
    <definedName name="SCDPT4_2509999999_20" localSheetId="7">GMIC_22A_SCDPT4!$V$348</definedName>
    <definedName name="SCDPT4_2509999999_7" localSheetId="7">GMIC_22A_SCDPT4!$I$348</definedName>
    <definedName name="SCDPT4_2509999999_8" localSheetId="7">GMIC_22A_SCDPT4!$J$348</definedName>
    <definedName name="SCDPT4_2509999999_9" localSheetId="7">GMIC_22A_SCDPT4!$K$348</definedName>
    <definedName name="SCDPT4_4010000000_Range" localSheetId="7">GMIC_22A_SCDPT4!$B$349:$AC$351</definedName>
    <definedName name="SCDPT4_4019999999_10" localSheetId="7">GMIC_22A_SCDPT4!$L$352</definedName>
    <definedName name="SCDPT4_4019999999_11" localSheetId="7">GMIC_22A_SCDPT4!$M$352</definedName>
    <definedName name="SCDPT4_4019999999_12" localSheetId="7">GMIC_22A_SCDPT4!$N$352</definedName>
    <definedName name="SCDPT4_4019999999_13" localSheetId="7">GMIC_22A_SCDPT4!$O$352</definedName>
    <definedName name="SCDPT4_4019999999_14" localSheetId="7">GMIC_22A_SCDPT4!$P$352</definedName>
    <definedName name="SCDPT4_4019999999_15" localSheetId="7">GMIC_22A_SCDPT4!$Q$352</definedName>
    <definedName name="SCDPT4_4019999999_16" localSheetId="7">GMIC_22A_SCDPT4!$R$352</definedName>
    <definedName name="SCDPT4_4019999999_17" localSheetId="7">GMIC_22A_SCDPT4!$S$352</definedName>
    <definedName name="SCDPT4_4019999999_18" localSheetId="7">GMIC_22A_SCDPT4!$T$352</definedName>
    <definedName name="SCDPT4_4019999999_19" localSheetId="7">GMIC_22A_SCDPT4!$U$352</definedName>
    <definedName name="SCDPT4_4019999999_20" localSheetId="7">GMIC_22A_SCDPT4!$V$352</definedName>
    <definedName name="SCDPT4_4019999999_7" localSheetId="7">GMIC_22A_SCDPT4!$I$352</definedName>
    <definedName name="SCDPT4_4019999999_9" localSheetId="7">GMIC_22A_SCDPT4!$K$352</definedName>
    <definedName name="SCDPT4_401BEGINNG_1" localSheetId="7">GMIC_22A_SCDPT4!$C$349</definedName>
    <definedName name="SCDPT4_401BEGINNG_10" localSheetId="7">GMIC_22A_SCDPT4!$L$349</definedName>
    <definedName name="SCDPT4_401BEGINNG_11" localSheetId="7">GMIC_22A_SCDPT4!$M$349</definedName>
    <definedName name="SCDPT4_401BEGINNG_12" localSheetId="7">GMIC_22A_SCDPT4!$N$349</definedName>
    <definedName name="SCDPT4_401BEGINNG_13" localSheetId="7">GMIC_22A_SCDPT4!$O$349</definedName>
    <definedName name="SCDPT4_401BEGINNG_14" localSheetId="7">GMIC_22A_SCDPT4!$P$349</definedName>
    <definedName name="SCDPT4_401BEGINNG_15" localSheetId="7">GMIC_22A_SCDPT4!$Q$349</definedName>
    <definedName name="SCDPT4_401BEGINNG_16" localSheetId="7">GMIC_22A_SCDPT4!$R$349</definedName>
    <definedName name="SCDPT4_401BEGINNG_17" localSheetId="7">GMIC_22A_SCDPT4!$S$349</definedName>
    <definedName name="SCDPT4_401BEGINNG_18" localSheetId="7">GMIC_22A_SCDPT4!$T$349</definedName>
    <definedName name="SCDPT4_401BEGINNG_19" localSheetId="7">GMIC_22A_SCDPT4!$U$349</definedName>
    <definedName name="SCDPT4_401BEGINNG_2" localSheetId="7">GMIC_22A_SCDPT4!$D$349</definedName>
    <definedName name="SCDPT4_401BEGINNG_20" localSheetId="7">GMIC_22A_SCDPT4!$V$349</definedName>
    <definedName name="SCDPT4_401BEGINNG_21" localSheetId="7">GMIC_22A_SCDPT4!$W$349</definedName>
    <definedName name="SCDPT4_401BEGINNG_22" localSheetId="7">GMIC_22A_SCDPT4!$X$349</definedName>
    <definedName name="SCDPT4_401BEGINNG_23" localSheetId="7">GMIC_22A_SCDPT4!$Y$349</definedName>
    <definedName name="SCDPT4_401BEGINNG_24" localSheetId="7">GMIC_22A_SCDPT4!$Z$349</definedName>
    <definedName name="SCDPT4_401BEGINNG_25" localSheetId="7">GMIC_22A_SCDPT4!$AA$349</definedName>
    <definedName name="SCDPT4_401BEGINNG_26" localSheetId="7">GMIC_22A_SCDPT4!$AB$349</definedName>
    <definedName name="SCDPT4_401BEGINNG_27" localSheetId="7">GMIC_22A_SCDPT4!$AC$349</definedName>
    <definedName name="SCDPT4_401BEGINNG_3" localSheetId="7">GMIC_22A_SCDPT4!$E$349</definedName>
    <definedName name="SCDPT4_401BEGINNG_4" localSheetId="7">GMIC_22A_SCDPT4!$F$349</definedName>
    <definedName name="SCDPT4_401BEGINNG_5" localSheetId="7">GMIC_22A_SCDPT4!$G$349</definedName>
    <definedName name="SCDPT4_401BEGINNG_6" localSheetId="7">GMIC_22A_SCDPT4!$H$349</definedName>
    <definedName name="SCDPT4_401BEGINNG_7" localSheetId="7">GMIC_22A_SCDPT4!$I$349</definedName>
    <definedName name="SCDPT4_401BEGINNG_8" localSheetId="7">GMIC_22A_SCDPT4!$J$349</definedName>
    <definedName name="SCDPT4_401BEGINNG_9" localSheetId="7">GMIC_22A_SCDPT4!$K$349</definedName>
    <definedName name="SCDPT4_401ENDINGG_10" localSheetId="7">GMIC_22A_SCDPT4!$L$351</definedName>
    <definedName name="SCDPT4_401ENDINGG_11" localSheetId="7">GMIC_22A_SCDPT4!$M$351</definedName>
    <definedName name="SCDPT4_401ENDINGG_12" localSheetId="7">GMIC_22A_SCDPT4!$N$351</definedName>
    <definedName name="SCDPT4_401ENDINGG_13" localSheetId="7">GMIC_22A_SCDPT4!$O$351</definedName>
    <definedName name="SCDPT4_401ENDINGG_14" localSheetId="7">GMIC_22A_SCDPT4!$P$351</definedName>
    <definedName name="SCDPT4_401ENDINGG_15" localSheetId="7">GMIC_22A_SCDPT4!$Q$351</definedName>
    <definedName name="SCDPT4_401ENDINGG_16" localSheetId="7">GMIC_22A_SCDPT4!$R$351</definedName>
    <definedName name="SCDPT4_401ENDINGG_17" localSheetId="7">GMIC_22A_SCDPT4!$S$351</definedName>
    <definedName name="SCDPT4_401ENDINGG_18" localSheetId="7">GMIC_22A_SCDPT4!$T$351</definedName>
    <definedName name="SCDPT4_401ENDINGG_19" localSheetId="7">GMIC_22A_SCDPT4!$U$351</definedName>
    <definedName name="SCDPT4_401ENDINGG_2" localSheetId="7">GMIC_22A_SCDPT4!$D$351</definedName>
    <definedName name="SCDPT4_401ENDINGG_20" localSheetId="7">GMIC_22A_SCDPT4!$V$351</definedName>
    <definedName name="SCDPT4_401ENDINGG_21" localSheetId="7">GMIC_22A_SCDPT4!$W$351</definedName>
    <definedName name="SCDPT4_401ENDINGG_22" localSheetId="7">GMIC_22A_SCDPT4!$X$351</definedName>
    <definedName name="SCDPT4_401ENDINGG_23" localSheetId="7">GMIC_22A_SCDPT4!$Y$351</definedName>
    <definedName name="SCDPT4_401ENDINGG_24" localSheetId="7">GMIC_22A_SCDPT4!$Z$351</definedName>
    <definedName name="SCDPT4_401ENDINGG_25" localSheetId="7">GMIC_22A_SCDPT4!$AA$351</definedName>
    <definedName name="SCDPT4_401ENDINGG_26" localSheetId="7">GMIC_22A_SCDPT4!$AB$351</definedName>
    <definedName name="SCDPT4_401ENDINGG_27" localSheetId="7">GMIC_22A_SCDPT4!$AC$351</definedName>
    <definedName name="SCDPT4_401ENDINGG_3" localSheetId="7">GMIC_22A_SCDPT4!$E$351</definedName>
    <definedName name="SCDPT4_401ENDINGG_4" localSheetId="7">GMIC_22A_SCDPT4!$F$351</definedName>
    <definedName name="SCDPT4_401ENDINGG_5" localSheetId="7">GMIC_22A_SCDPT4!$G$351</definedName>
    <definedName name="SCDPT4_401ENDINGG_6" localSheetId="7">GMIC_22A_SCDPT4!$H$351</definedName>
    <definedName name="SCDPT4_401ENDINGG_7" localSheetId="7">GMIC_22A_SCDPT4!$I$351</definedName>
    <definedName name="SCDPT4_401ENDINGG_8" localSheetId="7">GMIC_22A_SCDPT4!$J$351</definedName>
    <definedName name="SCDPT4_401ENDINGG_9" localSheetId="7">GMIC_22A_SCDPT4!$K$351</definedName>
    <definedName name="SCDPT4_4020000000_Range" localSheetId="7">GMIC_22A_SCDPT4!$B$353:$AC$355</definedName>
    <definedName name="SCDPT4_4029999999_10" localSheetId="7">GMIC_22A_SCDPT4!$L$356</definedName>
    <definedName name="SCDPT4_4029999999_11" localSheetId="7">GMIC_22A_SCDPT4!$M$356</definedName>
    <definedName name="SCDPT4_4029999999_12" localSheetId="7">GMIC_22A_SCDPT4!$N$356</definedName>
    <definedName name="SCDPT4_4029999999_13" localSheetId="7">GMIC_22A_SCDPT4!$O$356</definedName>
    <definedName name="SCDPT4_4029999999_14" localSheetId="7">GMIC_22A_SCDPT4!$P$356</definedName>
    <definedName name="SCDPT4_4029999999_15" localSheetId="7">GMIC_22A_SCDPT4!$Q$356</definedName>
    <definedName name="SCDPT4_4029999999_16" localSheetId="7">GMIC_22A_SCDPT4!$R$356</definedName>
    <definedName name="SCDPT4_4029999999_17" localSheetId="7">GMIC_22A_SCDPT4!$S$356</definedName>
    <definedName name="SCDPT4_4029999999_18" localSheetId="7">GMIC_22A_SCDPT4!$T$356</definedName>
    <definedName name="SCDPT4_4029999999_19" localSheetId="7">GMIC_22A_SCDPT4!$U$356</definedName>
    <definedName name="SCDPT4_4029999999_20" localSheetId="7">GMIC_22A_SCDPT4!$V$356</definedName>
    <definedName name="SCDPT4_4029999999_7" localSheetId="7">GMIC_22A_SCDPT4!$I$356</definedName>
    <definedName name="SCDPT4_4029999999_9" localSheetId="7">GMIC_22A_SCDPT4!$K$356</definedName>
    <definedName name="SCDPT4_402BEGINNG_1" localSheetId="7">GMIC_22A_SCDPT4!$C$353</definedName>
    <definedName name="SCDPT4_402BEGINNG_10" localSheetId="7">GMIC_22A_SCDPT4!$L$353</definedName>
    <definedName name="SCDPT4_402BEGINNG_11" localSheetId="7">GMIC_22A_SCDPT4!$M$353</definedName>
    <definedName name="SCDPT4_402BEGINNG_12" localSheetId="7">GMIC_22A_SCDPT4!$N$353</definedName>
    <definedName name="SCDPT4_402BEGINNG_13" localSheetId="7">GMIC_22A_SCDPT4!$O$353</definedName>
    <definedName name="SCDPT4_402BEGINNG_14" localSheetId="7">GMIC_22A_SCDPT4!$P$353</definedName>
    <definedName name="SCDPT4_402BEGINNG_15" localSheetId="7">GMIC_22A_SCDPT4!$Q$353</definedName>
    <definedName name="SCDPT4_402BEGINNG_16" localSheetId="7">GMIC_22A_SCDPT4!$R$353</definedName>
    <definedName name="SCDPT4_402BEGINNG_17" localSheetId="7">GMIC_22A_SCDPT4!$S$353</definedName>
    <definedName name="SCDPT4_402BEGINNG_18" localSheetId="7">GMIC_22A_SCDPT4!$T$353</definedName>
    <definedName name="SCDPT4_402BEGINNG_19" localSheetId="7">GMIC_22A_SCDPT4!$U$353</definedName>
    <definedName name="SCDPT4_402BEGINNG_2" localSheetId="7">GMIC_22A_SCDPT4!$D$353</definedName>
    <definedName name="SCDPT4_402BEGINNG_20" localSheetId="7">GMIC_22A_SCDPT4!$V$353</definedName>
    <definedName name="SCDPT4_402BEGINNG_21" localSheetId="7">GMIC_22A_SCDPT4!$W$353</definedName>
    <definedName name="SCDPT4_402BEGINNG_22" localSheetId="7">GMIC_22A_SCDPT4!$X$353</definedName>
    <definedName name="SCDPT4_402BEGINNG_23" localSheetId="7">GMIC_22A_SCDPT4!$Y$353</definedName>
    <definedName name="SCDPT4_402BEGINNG_24" localSheetId="7">GMIC_22A_SCDPT4!$Z$353</definedName>
    <definedName name="SCDPT4_402BEGINNG_25" localSheetId="7">GMIC_22A_SCDPT4!$AA$353</definedName>
    <definedName name="SCDPT4_402BEGINNG_26" localSheetId="7">GMIC_22A_SCDPT4!$AB$353</definedName>
    <definedName name="SCDPT4_402BEGINNG_27" localSheetId="7">GMIC_22A_SCDPT4!$AC$353</definedName>
    <definedName name="SCDPT4_402BEGINNG_3" localSheetId="7">GMIC_22A_SCDPT4!$E$353</definedName>
    <definedName name="SCDPT4_402BEGINNG_4" localSheetId="7">GMIC_22A_SCDPT4!$F$353</definedName>
    <definedName name="SCDPT4_402BEGINNG_5" localSheetId="7">GMIC_22A_SCDPT4!$G$353</definedName>
    <definedName name="SCDPT4_402BEGINNG_6" localSheetId="7">GMIC_22A_SCDPT4!$H$353</definedName>
    <definedName name="SCDPT4_402BEGINNG_7" localSheetId="7">GMIC_22A_SCDPT4!$I$353</definedName>
    <definedName name="SCDPT4_402BEGINNG_8" localSheetId="7">GMIC_22A_SCDPT4!$J$353</definedName>
    <definedName name="SCDPT4_402BEGINNG_9" localSheetId="7">GMIC_22A_SCDPT4!$K$353</definedName>
    <definedName name="SCDPT4_402ENDINGG_10" localSheetId="7">GMIC_22A_SCDPT4!$L$355</definedName>
    <definedName name="SCDPT4_402ENDINGG_11" localSheetId="7">GMIC_22A_SCDPT4!$M$355</definedName>
    <definedName name="SCDPT4_402ENDINGG_12" localSheetId="7">GMIC_22A_SCDPT4!$N$355</definedName>
    <definedName name="SCDPT4_402ENDINGG_13" localSheetId="7">GMIC_22A_SCDPT4!$O$355</definedName>
    <definedName name="SCDPT4_402ENDINGG_14" localSheetId="7">GMIC_22A_SCDPT4!$P$355</definedName>
    <definedName name="SCDPT4_402ENDINGG_15" localSheetId="7">GMIC_22A_SCDPT4!$Q$355</definedName>
    <definedName name="SCDPT4_402ENDINGG_16" localSheetId="7">GMIC_22A_SCDPT4!$R$355</definedName>
    <definedName name="SCDPT4_402ENDINGG_17" localSheetId="7">GMIC_22A_SCDPT4!$S$355</definedName>
    <definedName name="SCDPT4_402ENDINGG_18" localSheetId="7">GMIC_22A_SCDPT4!$T$355</definedName>
    <definedName name="SCDPT4_402ENDINGG_19" localSheetId="7">GMIC_22A_SCDPT4!$U$355</definedName>
    <definedName name="SCDPT4_402ENDINGG_2" localSheetId="7">GMIC_22A_SCDPT4!$D$355</definedName>
    <definedName name="SCDPT4_402ENDINGG_20" localSheetId="7">GMIC_22A_SCDPT4!$V$355</definedName>
    <definedName name="SCDPT4_402ENDINGG_21" localSheetId="7">GMIC_22A_SCDPT4!$W$355</definedName>
    <definedName name="SCDPT4_402ENDINGG_22" localSheetId="7">GMIC_22A_SCDPT4!$X$355</definedName>
    <definedName name="SCDPT4_402ENDINGG_23" localSheetId="7">GMIC_22A_SCDPT4!$Y$355</definedName>
    <definedName name="SCDPT4_402ENDINGG_24" localSheetId="7">GMIC_22A_SCDPT4!$Z$355</definedName>
    <definedName name="SCDPT4_402ENDINGG_25" localSheetId="7">GMIC_22A_SCDPT4!$AA$355</definedName>
    <definedName name="SCDPT4_402ENDINGG_26" localSheetId="7">GMIC_22A_SCDPT4!$AB$355</definedName>
    <definedName name="SCDPT4_402ENDINGG_27" localSheetId="7">GMIC_22A_SCDPT4!$AC$355</definedName>
    <definedName name="SCDPT4_402ENDINGG_3" localSheetId="7">GMIC_22A_SCDPT4!$E$355</definedName>
    <definedName name="SCDPT4_402ENDINGG_4" localSheetId="7">GMIC_22A_SCDPT4!$F$355</definedName>
    <definedName name="SCDPT4_402ENDINGG_5" localSheetId="7">GMIC_22A_SCDPT4!$G$355</definedName>
    <definedName name="SCDPT4_402ENDINGG_6" localSheetId="7">GMIC_22A_SCDPT4!$H$355</definedName>
    <definedName name="SCDPT4_402ENDINGG_7" localSheetId="7">GMIC_22A_SCDPT4!$I$355</definedName>
    <definedName name="SCDPT4_402ENDINGG_8" localSheetId="7">GMIC_22A_SCDPT4!$J$355</definedName>
    <definedName name="SCDPT4_402ENDINGG_9" localSheetId="7">GMIC_22A_SCDPT4!$K$355</definedName>
    <definedName name="SCDPT4_4310000000_Range" localSheetId="7">GMIC_22A_SCDPT4!$B$357:$AC$359</definedName>
    <definedName name="SCDPT4_4319999999_10" localSheetId="7">GMIC_22A_SCDPT4!$L$360</definedName>
    <definedName name="SCDPT4_4319999999_11" localSheetId="7">GMIC_22A_SCDPT4!$M$360</definedName>
    <definedName name="SCDPT4_4319999999_12" localSheetId="7">GMIC_22A_SCDPT4!$N$360</definedName>
    <definedName name="SCDPT4_4319999999_13" localSheetId="7">GMIC_22A_SCDPT4!$O$360</definedName>
    <definedName name="SCDPT4_4319999999_14" localSheetId="7">GMIC_22A_SCDPT4!$P$360</definedName>
    <definedName name="SCDPT4_4319999999_15" localSheetId="7">GMIC_22A_SCDPT4!$Q$360</definedName>
    <definedName name="SCDPT4_4319999999_16" localSheetId="7">GMIC_22A_SCDPT4!$R$360</definedName>
    <definedName name="SCDPT4_4319999999_17" localSheetId="7">GMIC_22A_SCDPT4!$S$360</definedName>
    <definedName name="SCDPT4_4319999999_18" localSheetId="7">GMIC_22A_SCDPT4!$T$360</definedName>
    <definedName name="SCDPT4_4319999999_19" localSheetId="7">GMIC_22A_SCDPT4!$U$360</definedName>
    <definedName name="SCDPT4_4319999999_20" localSheetId="7">GMIC_22A_SCDPT4!$V$360</definedName>
    <definedName name="SCDPT4_4319999999_7" localSheetId="7">GMIC_22A_SCDPT4!$I$360</definedName>
    <definedName name="SCDPT4_4319999999_9" localSheetId="7">GMIC_22A_SCDPT4!$K$360</definedName>
    <definedName name="SCDPT4_431BEGINNG_1" localSheetId="7">GMIC_22A_SCDPT4!$C$357</definedName>
    <definedName name="SCDPT4_431BEGINNG_10" localSheetId="7">GMIC_22A_SCDPT4!$L$357</definedName>
    <definedName name="SCDPT4_431BEGINNG_11" localSheetId="7">GMIC_22A_SCDPT4!$M$357</definedName>
    <definedName name="SCDPT4_431BEGINNG_12" localSheetId="7">GMIC_22A_SCDPT4!$N$357</definedName>
    <definedName name="SCDPT4_431BEGINNG_13" localSheetId="7">GMIC_22A_SCDPT4!$O$357</definedName>
    <definedName name="SCDPT4_431BEGINNG_14" localSheetId="7">GMIC_22A_SCDPT4!$P$357</definedName>
    <definedName name="SCDPT4_431BEGINNG_15" localSheetId="7">GMIC_22A_SCDPT4!$Q$357</definedName>
    <definedName name="SCDPT4_431BEGINNG_16" localSheetId="7">GMIC_22A_SCDPT4!$R$357</definedName>
    <definedName name="SCDPT4_431BEGINNG_17" localSheetId="7">GMIC_22A_SCDPT4!$S$357</definedName>
    <definedName name="SCDPT4_431BEGINNG_18" localSheetId="7">GMIC_22A_SCDPT4!$T$357</definedName>
    <definedName name="SCDPT4_431BEGINNG_19" localSheetId="7">GMIC_22A_SCDPT4!$U$357</definedName>
    <definedName name="SCDPT4_431BEGINNG_2" localSheetId="7">GMIC_22A_SCDPT4!$D$357</definedName>
    <definedName name="SCDPT4_431BEGINNG_20" localSheetId="7">GMIC_22A_SCDPT4!$V$357</definedName>
    <definedName name="SCDPT4_431BEGINNG_21" localSheetId="7">GMIC_22A_SCDPT4!$W$357</definedName>
    <definedName name="SCDPT4_431BEGINNG_22" localSheetId="7">GMIC_22A_SCDPT4!$X$357</definedName>
    <definedName name="SCDPT4_431BEGINNG_23" localSheetId="7">GMIC_22A_SCDPT4!$Y$357</definedName>
    <definedName name="SCDPT4_431BEGINNG_24" localSheetId="7">GMIC_22A_SCDPT4!$Z$357</definedName>
    <definedName name="SCDPT4_431BEGINNG_25" localSheetId="7">GMIC_22A_SCDPT4!$AA$357</definedName>
    <definedName name="SCDPT4_431BEGINNG_26" localSheetId="7">GMIC_22A_SCDPT4!$AB$357</definedName>
    <definedName name="SCDPT4_431BEGINNG_27" localSheetId="7">GMIC_22A_SCDPT4!$AC$357</definedName>
    <definedName name="SCDPT4_431BEGINNG_3" localSheetId="7">GMIC_22A_SCDPT4!$E$357</definedName>
    <definedName name="SCDPT4_431BEGINNG_4" localSheetId="7">GMIC_22A_SCDPT4!$F$357</definedName>
    <definedName name="SCDPT4_431BEGINNG_5" localSheetId="7">GMIC_22A_SCDPT4!$G$357</definedName>
    <definedName name="SCDPT4_431BEGINNG_6" localSheetId="7">GMIC_22A_SCDPT4!$H$357</definedName>
    <definedName name="SCDPT4_431BEGINNG_7" localSheetId="7">GMIC_22A_SCDPT4!$I$357</definedName>
    <definedName name="SCDPT4_431BEGINNG_8" localSheetId="7">GMIC_22A_SCDPT4!$J$357</definedName>
    <definedName name="SCDPT4_431BEGINNG_9" localSheetId="7">GMIC_22A_SCDPT4!$K$357</definedName>
    <definedName name="SCDPT4_431ENDINGG_10" localSheetId="7">GMIC_22A_SCDPT4!$L$359</definedName>
    <definedName name="SCDPT4_431ENDINGG_11" localSheetId="7">GMIC_22A_SCDPT4!$M$359</definedName>
    <definedName name="SCDPT4_431ENDINGG_12" localSheetId="7">GMIC_22A_SCDPT4!$N$359</definedName>
    <definedName name="SCDPT4_431ENDINGG_13" localSheetId="7">GMIC_22A_SCDPT4!$O$359</definedName>
    <definedName name="SCDPT4_431ENDINGG_14" localSheetId="7">GMIC_22A_SCDPT4!$P$359</definedName>
    <definedName name="SCDPT4_431ENDINGG_15" localSheetId="7">GMIC_22A_SCDPT4!$Q$359</definedName>
    <definedName name="SCDPT4_431ENDINGG_16" localSheetId="7">GMIC_22A_SCDPT4!$R$359</definedName>
    <definedName name="SCDPT4_431ENDINGG_17" localSheetId="7">GMIC_22A_SCDPT4!$S$359</definedName>
    <definedName name="SCDPT4_431ENDINGG_18" localSheetId="7">GMIC_22A_SCDPT4!$T$359</definedName>
    <definedName name="SCDPT4_431ENDINGG_19" localSheetId="7">GMIC_22A_SCDPT4!$U$359</definedName>
    <definedName name="SCDPT4_431ENDINGG_2" localSheetId="7">GMIC_22A_SCDPT4!$D$359</definedName>
    <definedName name="SCDPT4_431ENDINGG_20" localSheetId="7">GMIC_22A_SCDPT4!$V$359</definedName>
    <definedName name="SCDPT4_431ENDINGG_21" localSheetId="7">GMIC_22A_SCDPT4!$W$359</definedName>
    <definedName name="SCDPT4_431ENDINGG_22" localSheetId="7">GMIC_22A_SCDPT4!$X$359</definedName>
    <definedName name="SCDPT4_431ENDINGG_23" localSheetId="7">GMIC_22A_SCDPT4!$Y$359</definedName>
    <definedName name="SCDPT4_431ENDINGG_24" localSheetId="7">GMIC_22A_SCDPT4!$Z$359</definedName>
    <definedName name="SCDPT4_431ENDINGG_25" localSheetId="7">GMIC_22A_SCDPT4!$AA$359</definedName>
    <definedName name="SCDPT4_431ENDINGG_26" localSheetId="7">GMIC_22A_SCDPT4!$AB$359</definedName>
    <definedName name="SCDPT4_431ENDINGG_27" localSheetId="7">GMIC_22A_SCDPT4!$AC$359</definedName>
    <definedName name="SCDPT4_431ENDINGG_3" localSheetId="7">GMIC_22A_SCDPT4!$E$359</definedName>
    <definedName name="SCDPT4_431ENDINGG_4" localSheetId="7">GMIC_22A_SCDPT4!$F$359</definedName>
    <definedName name="SCDPT4_431ENDINGG_5" localSheetId="7">GMIC_22A_SCDPT4!$G$359</definedName>
    <definedName name="SCDPT4_431ENDINGG_6" localSheetId="7">GMIC_22A_SCDPT4!$H$359</definedName>
    <definedName name="SCDPT4_431ENDINGG_7" localSheetId="7">GMIC_22A_SCDPT4!$I$359</definedName>
    <definedName name="SCDPT4_431ENDINGG_8" localSheetId="7">GMIC_22A_SCDPT4!$J$359</definedName>
    <definedName name="SCDPT4_431ENDINGG_9" localSheetId="7">GMIC_22A_SCDPT4!$K$359</definedName>
    <definedName name="SCDPT4_4320000000_Range" localSheetId="7">GMIC_22A_SCDPT4!$B$361:$AC$363</definedName>
    <definedName name="SCDPT4_4329999999_10" localSheetId="7">GMIC_22A_SCDPT4!$L$364</definedName>
    <definedName name="SCDPT4_4329999999_11" localSheetId="7">GMIC_22A_SCDPT4!$M$364</definedName>
    <definedName name="SCDPT4_4329999999_12" localSheetId="7">GMIC_22A_SCDPT4!$N$364</definedName>
    <definedName name="SCDPT4_4329999999_13" localSheetId="7">GMIC_22A_SCDPT4!$O$364</definedName>
    <definedName name="SCDPT4_4329999999_14" localSheetId="7">GMIC_22A_SCDPT4!$P$364</definedName>
    <definedName name="SCDPT4_4329999999_15" localSheetId="7">GMIC_22A_SCDPT4!$Q$364</definedName>
    <definedName name="SCDPT4_4329999999_16" localSheetId="7">GMIC_22A_SCDPT4!$R$364</definedName>
    <definedName name="SCDPT4_4329999999_17" localSheetId="7">GMIC_22A_SCDPT4!$S$364</definedName>
    <definedName name="SCDPT4_4329999999_18" localSheetId="7">GMIC_22A_SCDPT4!$T$364</definedName>
    <definedName name="SCDPT4_4329999999_19" localSheetId="7">GMIC_22A_SCDPT4!$U$364</definedName>
    <definedName name="SCDPT4_4329999999_20" localSheetId="7">GMIC_22A_SCDPT4!$V$364</definedName>
    <definedName name="SCDPT4_4329999999_7" localSheetId="7">GMIC_22A_SCDPT4!$I$364</definedName>
    <definedName name="SCDPT4_4329999999_9" localSheetId="7">GMIC_22A_SCDPT4!$K$364</definedName>
    <definedName name="SCDPT4_432BEGINNG_1" localSheetId="7">GMIC_22A_SCDPT4!$C$361</definedName>
    <definedName name="SCDPT4_432BEGINNG_10" localSheetId="7">GMIC_22A_SCDPT4!$L$361</definedName>
    <definedName name="SCDPT4_432BEGINNG_11" localSheetId="7">GMIC_22A_SCDPT4!$M$361</definedName>
    <definedName name="SCDPT4_432BEGINNG_12" localSheetId="7">GMIC_22A_SCDPT4!$N$361</definedName>
    <definedName name="SCDPT4_432BEGINNG_13" localSheetId="7">GMIC_22A_SCDPT4!$O$361</definedName>
    <definedName name="SCDPT4_432BEGINNG_14" localSheetId="7">GMIC_22A_SCDPT4!$P$361</definedName>
    <definedName name="SCDPT4_432BEGINNG_15" localSheetId="7">GMIC_22A_SCDPT4!$Q$361</definedName>
    <definedName name="SCDPT4_432BEGINNG_16" localSheetId="7">GMIC_22A_SCDPT4!$R$361</definedName>
    <definedName name="SCDPT4_432BEGINNG_17" localSheetId="7">GMIC_22A_SCDPT4!$S$361</definedName>
    <definedName name="SCDPT4_432BEGINNG_18" localSheetId="7">GMIC_22A_SCDPT4!$T$361</definedName>
    <definedName name="SCDPT4_432BEGINNG_19" localSheetId="7">GMIC_22A_SCDPT4!$U$361</definedName>
    <definedName name="SCDPT4_432BEGINNG_2" localSheetId="7">GMIC_22A_SCDPT4!$D$361</definedName>
    <definedName name="SCDPT4_432BEGINNG_20" localSheetId="7">GMIC_22A_SCDPT4!$V$361</definedName>
    <definedName name="SCDPT4_432BEGINNG_21" localSheetId="7">GMIC_22A_SCDPT4!$W$361</definedName>
    <definedName name="SCDPT4_432BEGINNG_22" localSheetId="7">GMIC_22A_SCDPT4!$X$361</definedName>
    <definedName name="SCDPT4_432BEGINNG_23" localSheetId="7">GMIC_22A_SCDPT4!$Y$361</definedName>
    <definedName name="SCDPT4_432BEGINNG_24" localSheetId="7">GMIC_22A_SCDPT4!$Z$361</definedName>
    <definedName name="SCDPT4_432BEGINNG_25" localSheetId="7">GMIC_22A_SCDPT4!$AA$361</definedName>
    <definedName name="SCDPT4_432BEGINNG_26" localSheetId="7">GMIC_22A_SCDPT4!$AB$361</definedName>
    <definedName name="SCDPT4_432BEGINNG_27" localSheetId="7">GMIC_22A_SCDPT4!$AC$361</definedName>
    <definedName name="SCDPT4_432BEGINNG_3" localSheetId="7">GMIC_22A_SCDPT4!$E$361</definedName>
    <definedName name="SCDPT4_432BEGINNG_4" localSheetId="7">GMIC_22A_SCDPT4!$F$361</definedName>
    <definedName name="SCDPT4_432BEGINNG_5" localSheetId="7">GMIC_22A_SCDPT4!$G$361</definedName>
    <definedName name="SCDPT4_432BEGINNG_6" localSheetId="7">GMIC_22A_SCDPT4!$H$361</definedName>
    <definedName name="SCDPT4_432BEGINNG_7" localSheetId="7">GMIC_22A_SCDPT4!$I$361</definedName>
    <definedName name="SCDPT4_432BEGINNG_8" localSheetId="7">GMIC_22A_SCDPT4!$J$361</definedName>
    <definedName name="SCDPT4_432BEGINNG_9" localSheetId="7">GMIC_22A_SCDPT4!$K$361</definedName>
    <definedName name="SCDPT4_432ENDINGG_10" localSheetId="7">GMIC_22A_SCDPT4!$L$363</definedName>
    <definedName name="SCDPT4_432ENDINGG_11" localSheetId="7">GMIC_22A_SCDPT4!$M$363</definedName>
    <definedName name="SCDPT4_432ENDINGG_12" localSheetId="7">GMIC_22A_SCDPT4!$N$363</definedName>
    <definedName name="SCDPT4_432ENDINGG_13" localSheetId="7">GMIC_22A_SCDPT4!$O$363</definedName>
    <definedName name="SCDPT4_432ENDINGG_14" localSheetId="7">GMIC_22A_SCDPT4!$P$363</definedName>
    <definedName name="SCDPT4_432ENDINGG_15" localSheetId="7">GMIC_22A_SCDPT4!$Q$363</definedName>
    <definedName name="SCDPT4_432ENDINGG_16" localSheetId="7">GMIC_22A_SCDPT4!$R$363</definedName>
    <definedName name="SCDPT4_432ENDINGG_17" localSheetId="7">GMIC_22A_SCDPT4!$S$363</definedName>
    <definedName name="SCDPT4_432ENDINGG_18" localSheetId="7">GMIC_22A_SCDPT4!$T$363</definedName>
    <definedName name="SCDPT4_432ENDINGG_19" localSheetId="7">GMIC_22A_SCDPT4!$U$363</definedName>
    <definedName name="SCDPT4_432ENDINGG_2" localSheetId="7">GMIC_22A_SCDPT4!$D$363</definedName>
    <definedName name="SCDPT4_432ENDINGG_20" localSheetId="7">GMIC_22A_SCDPT4!$V$363</definedName>
    <definedName name="SCDPT4_432ENDINGG_21" localSheetId="7">GMIC_22A_SCDPT4!$W$363</definedName>
    <definedName name="SCDPT4_432ENDINGG_22" localSheetId="7">GMIC_22A_SCDPT4!$X$363</definedName>
    <definedName name="SCDPT4_432ENDINGG_23" localSheetId="7">GMIC_22A_SCDPT4!$Y$363</definedName>
    <definedName name="SCDPT4_432ENDINGG_24" localSheetId="7">GMIC_22A_SCDPT4!$Z$363</definedName>
    <definedName name="SCDPT4_432ENDINGG_25" localSheetId="7">GMIC_22A_SCDPT4!$AA$363</definedName>
    <definedName name="SCDPT4_432ENDINGG_26" localSheetId="7">GMIC_22A_SCDPT4!$AB$363</definedName>
    <definedName name="SCDPT4_432ENDINGG_27" localSheetId="7">GMIC_22A_SCDPT4!$AC$363</definedName>
    <definedName name="SCDPT4_432ENDINGG_3" localSheetId="7">GMIC_22A_SCDPT4!$E$363</definedName>
    <definedName name="SCDPT4_432ENDINGG_4" localSheetId="7">GMIC_22A_SCDPT4!$F$363</definedName>
    <definedName name="SCDPT4_432ENDINGG_5" localSheetId="7">GMIC_22A_SCDPT4!$G$363</definedName>
    <definedName name="SCDPT4_432ENDINGG_6" localSheetId="7">GMIC_22A_SCDPT4!$H$363</definedName>
    <definedName name="SCDPT4_432ENDINGG_7" localSheetId="7">GMIC_22A_SCDPT4!$I$363</definedName>
    <definedName name="SCDPT4_432ENDINGG_8" localSheetId="7">GMIC_22A_SCDPT4!$J$363</definedName>
    <definedName name="SCDPT4_432ENDINGG_9" localSheetId="7">GMIC_22A_SCDPT4!$K$363</definedName>
    <definedName name="SCDPT4_4509999997_10" localSheetId="7">GMIC_22A_SCDPT4!$L$365</definedName>
    <definedName name="SCDPT4_4509999997_11" localSheetId="7">GMIC_22A_SCDPT4!$M$365</definedName>
    <definedName name="SCDPT4_4509999997_12" localSheetId="7">GMIC_22A_SCDPT4!$N$365</definedName>
    <definedName name="SCDPT4_4509999997_13" localSheetId="7">GMIC_22A_SCDPT4!$O$365</definedName>
    <definedName name="SCDPT4_4509999997_14" localSheetId="7">GMIC_22A_SCDPT4!$P$365</definedName>
    <definedName name="SCDPT4_4509999997_15" localSheetId="7">GMIC_22A_SCDPT4!$Q$365</definedName>
    <definedName name="SCDPT4_4509999997_16" localSheetId="7">GMIC_22A_SCDPT4!$R$365</definedName>
    <definedName name="SCDPT4_4509999997_17" localSheetId="7">GMIC_22A_SCDPT4!$S$365</definedName>
    <definedName name="SCDPT4_4509999997_18" localSheetId="7">GMIC_22A_SCDPT4!$T$365</definedName>
    <definedName name="SCDPT4_4509999997_19" localSheetId="7">GMIC_22A_SCDPT4!$U$365</definedName>
    <definedName name="SCDPT4_4509999997_20" localSheetId="7">GMIC_22A_SCDPT4!$V$365</definedName>
    <definedName name="SCDPT4_4509999997_7" localSheetId="7">GMIC_22A_SCDPT4!$I$365</definedName>
    <definedName name="SCDPT4_4509999997_9" localSheetId="7">GMIC_22A_SCDPT4!$K$365</definedName>
    <definedName name="SCDPT4_4509999998_10" localSheetId="7">GMIC_22A_SCDPT4!$L$366</definedName>
    <definedName name="SCDPT4_4509999998_11" localSheetId="7">GMIC_22A_SCDPT4!$M$366</definedName>
    <definedName name="SCDPT4_4509999998_12" localSheetId="7">GMIC_22A_SCDPT4!$N$366</definedName>
    <definedName name="SCDPT4_4509999998_13" localSheetId="7">GMIC_22A_SCDPT4!$O$366</definedName>
    <definedName name="SCDPT4_4509999998_14" localSheetId="7">GMIC_22A_SCDPT4!$P$366</definedName>
    <definedName name="SCDPT4_4509999998_15" localSheetId="7">GMIC_22A_SCDPT4!$Q$366</definedName>
    <definedName name="SCDPT4_4509999998_16" localSheetId="7">GMIC_22A_SCDPT4!$R$366</definedName>
    <definedName name="SCDPT4_4509999998_17" localSheetId="7">GMIC_22A_SCDPT4!$S$366</definedName>
    <definedName name="SCDPT4_4509999998_18" localSheetId="7">GMIC_22A_SCDPT4!$T$366</definedName>
    <definedName name="SCDPT4_4509999998_19" localSheetId="7">GMIC_22A_SCDPT4!$U$366</definedName>
    <definedName name="SCDPT4_4509999998_20" localSheetId="7">GMIC_22A_SCDPT4!$V$366</definedName>
    <definedName name="SCDPT4_4509999998_7" localSheetId="7">GMIC_22A_SCDPT4!$I$366</definedName>
    <definedName name="SCDPT4_4509999998_9" localSheetId="7">GMIC_22A_SCDPT4!$K$366</definedName>
    <definedName name="SCDPT4_4509999999_10" localSheetId="7">GMIC_22A_SCDPT4!$L$367</definedName>
    <definedName name="SCDPT4_4509999999_11" localSheetId="7">GMIC_22A_SCDPT4!$M$367</definedName>
    <definedName name="SCDPT4_4509999999_12" localSheetId="7">GMIC_22A_SCDPT4!$N$367</definedName>
    <definedName name="SCDPT4_4509999999_13" localSheetId="7">GMIC_22A_SCDPT4!$O$367</definedName>
    <definedName name="SCDPT4_4509999999_14" localSheetId="7">GMIC_22A_SCDPT4!$P$367</definedName>
    <definedName name="SCDPT4_4509999999_15" localSheetId="7">GMIC_22A_SCDPT4!$Q$367</definedName>
    <definedName name="SCDPT4_4509999999_16" localSheetId="7">GMIC_22A_SCDPT4!$R$367</definedName>
    <definedName name="SCDPT4_4509999999_17" localSheetId="7">GMIC_22A_SCDPT4!$S$367</definedName>
    <definedName name="SCDPT4_4509999999_18" localSheetId="7">GMIC_22A_SCDPT4!$T$367</definedName>
    <definedName name="SCDPT4_4509999999_19" localSheetId="7">GMIC_22A_SCDPT4!$U$367</definedName>
    <definedName name="SCDPT4_4509999999_20" localSheetId="7">GMIC_22A_SCDPT4!$V$367</definedName>
    <definedName name="SCDPT4_4509999999_7" localSheetId="7">GMIC_22A_SCDPT4!$I$367</definedName>
    <definedName name="SCDPT4_4509999999_9" localSheetId="7">GMIC_22A_SCDPT4!$K$367</definedName>
    <definedName name="SCDPT4_5010000000_Range" localSheetId="7">GMIC_22A_SCDPT4!$B$368:$AC$370</definedName>
    <definedName name="SCDPT4_5019999999_10" localSheetId="7">GMIC_22A_SCDPT4!$L$371</definedName>
    <definedName name="SCDPT4_5019999999_11" localSheetId="7">GMIC_22A_SCDPT4!$M$371</definedName>
    <definedName name="SCDPT4_5019999999_12" localSheetId="7">GMIC_22A_SCDPT4!$N$371</definedName>
    <definedName name="SCDPT4_5019999999_13" localSheetId="7">GMIC_22A_SCDPT4!$O$371</definedName>
    <definedName name="SCDPT4_5019999999_14" localSheetId="7">GMIC_22A_SCDPT4!$P$371</definedName>
    <definedName name="SCDPT4_5019999999_15" localSheetId="7">GMIC_22A_SCDPT4!$Q$371</definedName>
    <definedName name="SCDPT4_5019999999_16" localSheetId="7">GMIC_22A_SCDPT4!$R$371</definedName>
    <definedName name="SCDPT4_5019999999_17" localSheetId="7">GMIC_22A_SCDPT4!$S$371</definedName>
    <definedName name="SCDPT4_5019999999_18" localSheetId="7">GMIC_22A_SCDPT4!$T$371</definedName>
    <definedName name="SCDPT4_5019999999_19" localSheetId="7">GMIC_22A_SCDPT4!$U$371</definedName>
    <definedName name="SCDPT4_5019999999_20" localSheetId="7">GMIC_22A_SCDPT4!$V$371</definedName>
    <definedName name="SCDPT4_5019999999_7" localSheetId="7">GMIC_22A_SCDPT4!$I$371</definedName>
    <definedName name="SCDPT4_5019999999_9" localSheetId="7">GMIC_22A_SCDPT4!$K$371</definedName>
    <definedName name="SCDPT4_501BEGINNG_1" localSheetId="7">GMIC_22A_SCDPT4!$C$368</definedName>
    <definedName name="SCDPT4_501BEGINNG_10" localSheetId="7">GMIC_22A_SCDPT4!$L$368</definedName>
    <definedName name="SCDPT4_501BEGINNG_11" localSheetId="7">GMIC_22A_SCDPT4!$M$368</definedName>
    <definedName name="SCDPT4_501BEGINNG_12" localSheetId="7">GMIC_22A_SCDPT4!$N$368</definedName>
    <definedName name="SCDPT4_501BEGINNG_13" localSheetId="7">GMIC_22A_SCDPT4!$O$368</definedName>
    <definedName name="SCDPT4_501BEGINNG_14" localSheetId="7">GMIC_22A_SCDPT4!$P$368</definedName>
    <definedName name="SCDPT4_501BEGINNG_15" localSheetId="7">GMIC_22A_SCDPT4!$Q$368</definedName>
    <definedName name="SCDPT4_501BEGINNG_16" localSheetId="7">GMIC_22A_SCDPT4!$R$368</definedName>
    <definedName name="SCDPT4_501BEGINNG_17" localSheetId="7">GMIC_22A_SCDPT4!$S$368</definedName>
    <definedName name="SCDPT4_501BEGINNG_18" localSheetId="7">GMIC_22A_SCDPT4!$T$368</definedName>
    <definedName name="SCDPT4_501BEGINNG_19" localSheetId="7">GMIC_22A_SCDPT4!$U$368</definedName>
    <definedName name="SCDPT4_501BEGINNG_2" localSheetId="7">GMIC_22A_SCDPT4!$D$368</definedName>
    <definedName name="SCDPT4_501BEGINNG_20" localSheetId="7">GMIC_22A_SCDPT4!$V$368</definedName>
    <definedName name="SCDPT4_501BEGINNG_21" localSheetId="7">GMIC_22A_SCDPT4!$W$368</definedName>
    <definedName name="SCDPT4_501BEGINNG_22" localSheetId="7">GMIC_22A_SCDPT4!$X$368</definedName>
    <definedName name="SCDPT4_501BEGINNG_23" localSheetId="7">GMIC_22A_SCDPT4!$Y$368</definedName>
    <definedName name="SCDPT4_501BEGINNG_24" localSheetId="7">GMIC_22A_SCDPT4!$Z$368</definedName>
    <definedName name="SCDPT4_501BEGINNG_25" localSheetId="7">GMIC_22A_SCDPT4!$AA$368</definedName>
    <definedName name="SCDPT4_501BEGINNG_26" localSheetId="7">GMIC_22A_SCDPT4!$AB$368</definedName>
    <definedName name="SCDPT4_501BEGINNG_27" localSheetId="7">GMIC_22A_SCDPT4!$AC$368</definedName>
    <definedName name="SCDPT4_501BEGINNG_3" localSheetId="7">GMIC_22A_SCDPT4!$E$368</definedName>
    <definedName name="SCDPT4_501BEGINNG_4" localSheetId="7">GMIC_22A_SCDPT4!$F$368</definedName>
    <definedName name="SCDPT4_501BEGINNG_5" localSheetId="7">GMIC_22A_SCDPT4!$G$368</definedName>
    <definedName name="SCDPT4_501BEGINNG_6" localSheetId="7">GMIC_22A_SCDPT4!$H$368</definedName>
    <definedName name="SCDPT4_501BEGINNG_7" localSheetId="7">GMIC_22A_SCDPT4!$I$368</definedName>
    <definedName name="SCDPT4_501BEGINNG_8" localSheetId="7">GMIC_22A_SCDPT4!$J$368</definedName>
    <definedName name="SCDPT4_501BEGINNG_9" localSheetId="7">GMIC_22A_SCDPT4!$K$368</definedName>
    <definedName name="SCDPT4_501ENDINGG_10" localSheetId="7">GMIC_22A_SCDPT4!$L$370</definedName>
    <definedName name="SCDPT4_501ENDINGG_11" localSheetId="7">GMIC_22A_SCDPT4!$M$370</definedName>
    <definedName name="SCDPT4_501ENDINGG_12" localSheetId="7">GMIC_22A_SCDPT4!$N$370</definedName>
    <definedName name="SCDPT4_501ENDINGG_13" localSheetId="7">GMIC_22A_SCDPT4!$O$370</definedName>
    <definedName name="SCDPT4_501ENDINGG_14" localSheetId="7">GMIC_22A_SCDPT4!$P$370</definedName>
    <definedName name="SCDPT4_501ENDINGG_15" localSheetId="7">GMIC_22A_SCDPT4!$Q$370</definedName>
    <definedName name="SCDPT4_501ENDINGG_16" localSheetId="7">GMIC_22A_SCDPT4!$R$370</definedName>
    <definedName name="SCDPT4_501ENDINGG_17" localSheetId="7">GMIC_22A_SCDPT4!$S$370</definedName>
    <definedName name="SCDPT4_501ENDINGG_18" localSheetId="7">GMIC_22A_SCDPT4!$T$370</definedName>
    <definedName name="SCDPT4_501ENDINGG_19" localSheetId="7">GMIC_22A_SCDPT4!$U$370</definedName>
    <definedName name="SCDPT4_501ENDINGG_2" localSheetId="7">GMIC_22A_SCDPT4!$D$370</definedName>
    <definedName name="SCDPT4_501ENDINGG_20" localSheetId="7">GMIC_22A_SCDPT4!$V$370</definedName>
    <definedName name="SCDPT4_501ENDINGG_21" localSheetId="7">GMIC_22A_SCDPT4!$W$370</definedName>
    <definedName name="SCDPT4_501ENDINGG_22" localSheetId="7">GMIC_22A_SCDPT4!$X$370</definedName>
    <definedName name="SCDPT4_501ENDINGG_23" localSheetId="7">GMIC_22A_SCDPT4!$Y$370</definedName>
    <definedName name="SCDPT4_501ENDINGG_24" localSheetId="7">GMIC_22A_SCDPT4!$Z$370</definedName>
    <definedName name="SCDPT4_501ENDINGG_25" localSheetId="7">GMIC_22A_SCDPT4!$AA$370</definedName>
    <definedName name="SCDPT4_501ENDINGG_26" localSheetId="7">GMIC_22A_SCDPT4!$AB$370</definedName>
    <definedName name="SCDPT4_501ENDINGG_27" localSheetId="7">GMIC_22A_SCDPT4!$AC$370</definedName>
    <definedName name="SCDPT4_501ENDINGG_3" localSheetId="7">GMIC_22A_SCDPT4!$E$370</definedName>
    <definedName name="SCDPT4_501ENDINGG_4" localSheetId="7">GMIC_22A_SCDPT4!$F$370</definedName>
    <definedName name="SCDPT4_501ENDINGG_5" localSheetId="7">GMIC_22A_SCDPT4!$G$370</definedName>
    <definedName name="SCDPT4_501ENDINGG_6" localSheetId="7">GMIC_22A_SCDPT4!$H$370</definedName>
    <definedName name="SCDPT4_501ENDINGG_7" localSheetId="7">GMIC_22A_SCDPT4!$I$370</definedName>
    <definedName name="SCDPT4_501ENDINGG_8" localSheetId="7">GMIC_22A_SCDPT4!$J$370</definedName>
    <definedName name="SCDPT4_501ENDINGG_9" localSheetId="7">GMIC_22A_SCDPT4!$K$370</definedName>
    <definedName name="SCDPT4_5020000000_Range" localSheetId="7">GMIC_22A_SCDPT4!$B$372:$AC$374</definedName>
    <definedName name="SCDPT4_5029999999_10" localSheetId="7">GMIC_22A_SCDPT4!$L$375</definedName>
    <definedName name="SCDPT4_5029999999_11" localSheetId="7">GMIC_22A_SCDPT4!$M$375</definedName>
    <definedName name="SCDPT4_5029999999_12" localSheetId="7">GMIC_22A_SCDPT4!$N$375</definedName>
    <definedName name="SCDPT4_5029999999_13" localSheetId="7">GMIC_22A_SCDPT4!$O$375</definedName>
    <definedName name="SCDPT4_5029999999_14" localSheetId="7">GMIC_22A_SCDPT4!$P$375</definedName>
    <definedName name="SCDPT4_5029999999_15" localSheetId="7">GMIC_22A_SCDPT4!$Q$375</definedName>
    <definedName name="SCDPT4_5029999999_16" localSheetId="7">GMIC_22A_SCDPT4!$R$375</definedName>
    <definedName name="SCDPT4_5029999999_17" localSheetId="7">GMIC_22A_SCDPT4!$S$375</definedName>
    <definedName name="SCDPT4_5029999999_18" localSheetId="7">GMIC_22A_SCDPT4!$T$375</definedName>
    <definedName name="SCDPT4_5029999999_19" localSheetId="7">GMIC_22A_SCDPT4!$U$375</definedName>
    <definedName name="SCDPT4_5029999999_20" localSheetId="7">GMIC_22A_SCDPT4!$V$375</definedName>
    <definedName name="SCDPT4_5029999999_7" localSheetId="7">GMIC_22A_SCDPT4!$I$375</definedName>
    <definedName name="SCDPT4_5029999999_9" localSheetId="7">GMIC_22A_SCDPT4!$K$375</definedName>
    <definedName name="SCDPT4_502BEGINNG_1" localSheetId="7">GMIC_22A_SCDPT4!$C$372</definedName>
    <definedName name="SCDPT4_502BEGINNG_10" localSheetId="7">GMIC_22A_SCDPT4!$L$372</definedName>
    <definedName name="SCDPT4_502BEGINNG_11" localSheetId="7">GMIC_22A_SCDPT4!$M$372</definedName>
    <definedName name="SCDPT4_502BEGINNG_12" localSheetId="7">GMIC_22A_SCDPT4!$N$372</definedName>
    <definedName name="SCDPT4_502BEGINNG_13" localSheetId="7">GMIC_22A_SCDPT4!$O$372</definedName>
    <definedName name="SCDPT4_502BEGINNG_14" localSheetId="7">GMIC_22A_SCDPT4!$P$372</definedName>
    <definedName name="SCDPT4_502BEGINNG_15" localSheetId="7">GMIC_22A_SCDPT4!$Q$372</definedName>
    <definedName name="SCDPT4_502BEGINNG_16" localSheetId="7">GMIC_22A_SCDPT4!$R$372</definedName>
    <definedName name="SCDPT4_502BEGINNG_17" localSheetId="7">GMIC_22A_SCDPT4!$S$372</definedName>
    <definedName name="SCDPT4_502BEGINNG_18" localSheetId="7">GMIC_22A_SCDPT4!$T$372</definedName>
    <definedName name="SCDPT4_502BEGINNG_19" localSheetId="7">GMIC_22A_SCDPT4!$U$372</definedName>
    <definedName name="SCDPT4_502BEGINNG_2" localSheetId="7">GMIC_22A_SCDPT4!$D$372</definedName>
    <definedName name="SCDPT4_502BEGINNG_20" localSheetId="7">GMIC_22A_SCDPT4!$V$372</definedName>
    <definedName name="SCDPT4_502BEGINNG_21" localSheetId="7">GMIC_22A_SCDPT4!$W$372</definedName>
    <definedName name="SCDPT4_502BEGINNG_22" localSheetId="7">GMIC_22A_SCDPT4!$X$372</definedName>
    <definedName name="SCDPT4_502BEGINNG_23" localSheetId="7">GMIC_22A_SCDPT4!$Y$372</definedName>
    <definedName name="SCDPT4_502BEGINNG_24" localSheetId="7">GMIC_22A_SCDPT4!$Z$372</definedName>
    <definedName name="SCDPT4_502BEGINNG_25" localSheetId="7">GMIC_22A_SCDPT4!$AA$372</definedName>
    <definedName name="SCDPT4_502BEGINNG_26" localSheetId="7">GMIC_22A_SCDPT4!$AB$372</definedName>
    <definedName name="SCDPT4_502BEGINNG_27" localSheetId="7">GMIC_22A_SCDPT4!$AC$372</definedName>
    <definedName name="SCDPT4_502BEGINNG_3" localSheetId="7">GMIC_22A_SCDPT4!$E$372</definedName>
    <definedName name="SCDPT4_502BEGINNG_4" localSheetId="7">GMIC_22A_SCDPT4!$F$372</definedName>
    <definedName name="SCDPT4_502BEGINNG_5" localSheetId="7">GMIC_22A_SCDPT4!$G$372</definedName>
    <definedName name="SCDPT4_502BEGINNG_6" localSheetId="7">GMIC_22A_SCDPT4!$H$372</definedName>
    <definedName name="SCDPT4_502BEGINNG_7" localSheetId="7">GMIC_22A_SCDPT4!$I$372</definedName>
    <definedName name="SCDPT4_502BEGINNG_8" localSheetId="7">GMIC_22A_SCDPT4!$J$372</definedName>
    <definedName name="SCDPT4_502BEGINNG_9" localSheetId="7">GMIC_22A_SCDPT4!$K$372</definedName>
    <definedName name="SCDPT4_502ENDINGG_10" localSheetId="7">GMIC_22A_SCDPT4!$L$374</definedName>
    <definedName name="SCDPT4_502ENDINGG_11" localSheetId="7">GMIC_22A_SCDPT4!$M$374</definedName>
    <definedName name="SCDPT4_502ENDINGG_12" localSheetId="7">GMIC_22A_SCDPT4!$N$374</definedName>
    <definedName name="SCDPT4_502ENDINGG_13" localSheetId="7">GMIC_22A_SCDPT4!$O$374</definedName>
    <definedName name="SCDPT4_502ENDINGG_14" localSheetId="7">GMIC_22A_SCDPT4!$P$374</definedName>
    <definedName name="SCDPT4_502ENDINGG_15" localSheetId="7">GMIC_22A_SCDPT4!$Q$374</definedName>
    <definedName name="SCDPT4_502ENDINGG_16" localSheetId="7">GMIC_22A_SCDPT4!$R$374</definedName>
    <definedName name="SCDPT4_502ENDINGG_17" localSheetId="7">GMIC_22A_SCDPT4!$S$374</definedName>
    <definedName name="SCDPT4_502ENDINGG_18" localSheetId="7">GMIC_22A_SCDPT4!$T$374</definedName>
    <definedName name="SCDPT4_502ENDINGG_19" localSheetId="7">GMIC_22A_SCDPT4!$U$374</definedName>
    <definedName name="SCDPT4_502ENDINGG_2" localSheetId="7">GMIC_22A_SCDPT4!$D$374</definedName>
    <definedName name="SCDPT4_502ENDINGG_20" localSheetId="7">GMIC_22A_SCDPT4!$V$374</definedName>
    <definedName name="SCDPT4_502ENDINGG_21" localSheetId="7">GMIC_22A_SCDPT4!$W$374</definedName>
    <definedName name="SCDPT4_502ENDINGG_22" localSheetId="7">GMIC_22A_SCDPT4!$X$374</definedName>
    <definedName name="SCDPT4_502ENDINGG_23" localSheetId="7">GMIC_22A_SCDPT4!$Y$374</definedName>
    <definedName name="SCDPT4_502ENDINGG_24" localSheetId="7">GMIC_22A_SCDPT4!$Z$374</definedName>
    <definedName name="SCDPT4_502ENDINGG_25" localSheetId="7">GMIC_22A_SCDPT4!$AA$374</definedName>
    <definedName name="SCDPT4_502ENDINGG_26" localSheetId="7">GMIC_22A_SCDPT4!$AB$374</definedName>
    <definedName name="SCDPT4_502ENDINGG_27" localSheetId="7">GMIC_22A_SCDPT4!$AC$374</definedName>
    <definedName name="SCDPT4_502ENDINGG_3" localSheetId="7">GMIC_22A_SCDPT4!$E$374</definedName>
    <definedName name="SCDPT4_502ENDINGG_4" localSheetId="7">GMIC_22A_SCDPT4!$F$374</definedName>
    <definedName name="SCDPT4_502ENDINGG_5" localSheetId="7">GMIC_22A_SCDPT4!$G$374</definedName>
    <definedName name="SCDPT4_502ENDINGG_6" localSheetId="7">GMIC_22A_SCDPT4!$H$374</definedName>
    <definedName name="SCDPT4_502ENDINGG_7" localSheetId="7">GMIC_22A_SCDPT4!$I$374</definedName>
    <definedName name="SCDPT4_502ENDINGG_8" localSheetId="7">GMIC_22A_SCDPT4!$J$374</definedName>
    <definedName name="SCDPT4_502ENDINGG_9" localSheetId="7">GMIC_22A_SCDPT4!$K$374</definedName>
    <definedName name="SCDPT4_5310000000_Range" localSheetId="7">GMIC_22A_SCDPT4!$B$376:$AC$378</definedName>
    <definedName name="SCDPT4_5319999999_10" localSheetId="7">GMIC_22A_SCDPT4!$L$379</definedName>
    <definedName name="SCDPT4_5319999999_11" localSheetId="7">GMIC_22A_SCDPT4!$M$379</definedName>
    <definedName name="SCDPT4_5319999999_12" localSheetId="7">GMIC_22A_SCDPT4!$N$379</definedName>
    <definedName name="SCDPT4_5319999999_13" localSheetId="7">GMIC_22A_SCDPT4!$O$379</definedName>
    <definedName name="SCDPT4_5319999999_14" localSheetId="7">GMIC_22A_SCDPT4!$P$379</definedName>
    <definedName name="SCDPT4_5319999999_15" localSheetId="7">GMIC_22A_SCDPT4!$Q$379</definedName>
    <definedName name="SCDPT4_5319999999_16" localSheetId="7">GMIC_22A_SCDPT4!$R$379</definedName>
    <definedName name="SCDPT4_5319999999_17" localSheetId="7">GMIC_22A_SCDPT4!$S$379</definedName>
    <definedName name="SCDPT4_5319999999_18" localSheetId="7">GMIC_22A_SCDPT4!$T$379</definedName>
    <definedName name="SCDPT4_5319999999_19" localSheetId="7">GMIC_22A_SCDPT4!$U$379</definedName>
    <definedName name="SCDPT4_5319999999_20" localSheetId="7">GMIC_22A_SCDPT4!$V$379</definedName>
    <definedName name="SCDPT4_5319999999_7" localSheetId="7">GMIC_22A_SCDPT4!$I$379</definedName>
    <definedName name="SCDPT4_5319999999_9" localSheetId="7">GMIC_22A_SCDPT4!$K$379</definedName>
    <definedName name="SCDPT4_531BEGINNG_1" localSheetId="7">GMIC_22A_SCDPT4!$C$376</definedName>
    <definedName name="SCDPT4_531BEGINNG_10" localSheetId="7">GMIC_22A_SCDPT4!$L$376</definedName>
    <definedName name="SCDPT4_531BEGINNG_11" localSheetId="7">GMIC_22A_SCDPT4!$M$376</definedName>
    <definedName name="SCDPT4_531BEGINNG_12" localSheetId="7">GMIC_22A_SCDPT4!$N$376</definedName>
    <definedName name="SCDPT4_531BEGINNG_13" localSheetId="7">GMIC_22A_SCDPT4!$O$376</definedName>
    <definedName name="SCDPT4_531BEGINNG_14" localSheetId="7">GMIC_22A_SCDPT4!$P$376</definedName>
    <definedName name="SCDPT4_531BEGINNG_15" localSheetId="7">GMIC_22A_SCDPT4!$Q$376</definedName>
    <definedName name="SCDPT4_531BEGINNG_16" localSheetId="7">GMIC_22A_SCDPT4!$R$376</definedName>
    <definedName name="SCDPT4_531BEGINNG_17" localSheetId="7">GMIC_22A_SCDPT4!$S$376</definedName>
    <definedName name="SCDPT4_531BEGINNG_18" localSheetId="7">GMIC_22A_SCDPT4!$T$376</definedName>
    <definedName name="SCDPT4_531BEGINNG_19" localSheetId="7">GMIC_22A_SCDPT4!$U$376</definedName>
    <definedName name="SCDPT4_531BEGINNG_2" localSheetId="7">GMIC_22A_SCDPT4!$D$376</definedName>
    <definedName name="SCDPT4_531BEGINNG_20" localSheetId="7">GMIC_22A_SCDPT4!$V$376</definedName>
    <definedName name="SCDPT4_531BEGINNG_21" localSheetId="7">GMIC_22A_SCDPT4!$W$376</definedName>
    <definedName name="SCDPT4_531BEGINNG_22" localSheetId="7">GMIC_22A_SCDPT4!$X$376</definedName>
    <definedName name="SCDPT4_531BEGINNG_23" localSheetId="7">GMIC_22A_SCDPT4!$Y$376</definedName>
    <definedName name="SCDPT4_531BEGINNG_24" localSheetId="7">GMIC_22A_SCDPT4!$Z$376</definedName>
    <definedName name="SCDPT4_531BEGINNG_25" localSheetId="7">GMIC_22A_SCDPT4!$AA$376</definedName>
    <definedName name="SCDPT4_531BEGINNG_26" localSheetId="7">GMIC_22A_SCDPT4!$AB$376</definedName>
    <definedName name="SCDPT4_531BEGINNG_27" localSheetId="7">GMIC_22A_SCDPT4!$AC$376</definedName>
    <definedName name="SCDPT4_531BEGINNG_3" localSheetId="7">GMIC_22A_SCDPT4!$E$376</definedName>
    <definedName name="SCDPT4_531BEGINNG_4" localSheetId="7">GMIC_22A_SCDPT4!$F$376</definedName>
    <definedName name="SCDPT4_531BEGINNG_5" localSheetId="7">GMIC_22A_SCDPT4!$G$376</definedName>
    <definedName name="SCDPT4_531BEGINNG_6" localSheetId="7">GMIC_22A_SCDPT4!$H$376</definedName>
    <definedName name="SCDPT4_531BEGINNG_7" localSheetId="7">GMIC_22A_SCDPT4!$I$376</definedName>
    <definedName name="SCDPT4_531BEGINNG_8" localSheetId="7">GMIC_22A_SCDPT4!$J$376</definedName>
    <definedName name="SCDPT4_531BEGINNG_9" localSheetId="7">GMIC_22A_SCDPT4!$K$376</definedName>
    <definedName name="SCDPT4_531ENDINGG_10" localSheetId="7">GMIC_22A_SCDPT4!$L$378</definedName>
    <definedName name="SCDPT4_531ENDINGG_11" localSheetId="7">GMIC_22A_SCDPT4!$M$378</definedName>
    <definedName name="SCDPT4_531ENDINGG_12" localSheetId="7">GMIC_22A_SCDPT4!$N$378</definedName>
    <definedName name="SCDPT4_531ENDINGG_13" localSheetId="7">GMIC_22A_SCDPT4!$O$378</definedName>
    <definedName name="SCDPT4_531ENDINGG_14" localSheetId="7">GMIC_22A_SCDPT4!$P$378</definedName>
    <definedName name="SCDPT4_531ENDINGG_15" localSheetId="7">GMIC_22A_SCDPT4!$Q$378</definedName>
    <definedName name="SCDPT4_531ENDINGG_16" localSheetId="7">GMIC_22A_SCDPT4!$R$378</definedName>
    <definedName name="SCDPT4_531ENDINGG_17" localSheetId="7">GMIC_22A_SCDPT4!$S$378</definedName>
    <definedName name="SCDPT4_531ENDINGG_18" localSheetId="7">GMIC_22A_SCDPT4!$T$378</definedName>
    <definedName name="SCDPT4_531ENDINGG_19" localSheetId="7">GMIC_22A_SCDPT4!$U$378</definedName>
    <definedName name="SCDPT4_531ENDINGG_2" localSheetId="7">GMIC_22A_SCDPT4!$D$378</definedName>
    <definedName name="SCDPT4_531ENDINGG_20" localSheetId="7">GMIC_22A_SCDPT4!$V$378</definedName>
    <definedName name="SCDPT4_531ENDINGG_21" localSheetId="7">GMIC_22A_SCDPT4!$W$378</definedName>
    <definedName name="SCDPT4_531ENDINGG_22" localSheetId="7">GMIC_22A_SCDPT4!$X$378</definedName>
    <definedName name="SCDPT4_531ENDINGG_23" localSheetId="7">GMIC_22A_SCDPT4!$Y$378</definedName>
    <definedName name="SCDPT4_531ENDINGG_24" localSheetId="7">GMIC_22A_SCDPT4!$Z$378</definedName>
    <definedName name="SCDPT4_531ENDINGG_25" localSheetId="7">GMIC_22A_SCDPT4!$AA$378</definedName>
    <definedName name="SCDPT4_531ENDINGG_26" localSheetId="7">GMIC_22A_SCDPT4!$AB$378</definedName>
    <definedName name="SCDPT4_531ENDINGG_27" localSheetId="7">GMIC_22A_SCDPT4!$AC$378</definedName>
    <definedName name="SCDPT4_531ENDINGG_3" localSheetId="7">GMIC_22A_SCDPT4!$E$378</definedName>
    <definedName name="SCDPT4_531ENDINGG_4" localSheetId="7">GMIC_22A_SCDPT4!$F$378</definedName>
    <definedName name="SCDPT4_531ENDINGG_5" localSheetId="7">GMIC_22A_SCDPT4!$G$378</definedName>
    <definedName name="SCDPT4_531ENDINGG_6" localSheetId="7">GMIC_22A_SCDPT4!$H$378</definedName>
    <definedName name="SCDPT4_531ENDINGG_7" localSheetId="7">GMIC_22A_SCDPT4!$I$378</definedName>
    <definedName name="SCDPT4_531ENDINGG_8" localSheetId="7">GMIC_22A_SCDPT4!$J$378</definedName>
    <definedName name="SCDPT4_531ENDINGG_9" localSheetId="7">GMIC_22A_SCDPT4!$K$378</definedName>
    <definedName name="SCDPT4_5320000000_Range" localSheetId="7">GMIC_22A_SCDPT4!$B$380:$AC$382</definedName>
    <definedName name="SCDPT4_5329999999_10" localSheetId="7">GMIC_22A_SCDPT4!$L$383</definedName>
    <definedName name="SCDPT4_5329999999_11" localSheetId="7">GMIC_22A_SCDPT4!$M$383</definedName>
    <definedName name="SCDPT4_5329999999_12" localSheetId="7">GMIC_22A_SCDPT4!$N$383</definedName>
    <definedName name="SCDPT4_5329999999_13" localSheetId="7">GMIC_22A_SCDPT4!$O$383</definedName>
    <definedName name="SCDPT4_5329999999_14" localSheetId="7">GMIC_22A_SCDPT4!$P$383</definedName>
    <definedName name="SCDPT4_5329999999_15" localSheetId="7">GMIC_22A_SCDPT4!$Q$383</definedName>
    <definedName name="SCDPT4_5329999999_16" localSheetId="7">GMIC_22A_SCDPT4!$R$383</definedName>
    <definedName name="SCDPT4_5329999999_17" localSheetId="7">GMIC_22A_SCDPT4!$S$383</definedName>
    <definedName name="SCDPT4_5329999999_18" localSheetId="7">GMIC_22A_SCDPT4!$T$383</definedName>
    <definedName name="SCDPT4_5329999999_19" localSheetId="7">GMIC_22A_SCDPT4!$U$383</definedName>
    <definedName name="SCDPT4_5329999999_20" localSheetId="7">GMIC_22A_SCDPT4!$V$383</definedName>
    <definedName name="SCDPT4_5329999999_7" localSheetId="7">GMIC_22A_SCDPT4!$I$383</definedName>
    <definedName name="SCDPT4_5329999999_9" localSheetId="7">GMIC_22A_SCDPT4!$K$383</definedName>
    <definedName name="SCDPT4_532BEGINNG_1" localSheetId="7">GMIC_22A_SCDPT4!$C$380</definedName>
    <definedName name="SCDPT4_532BEGINNG_10" localSheetId="7">GMIC_22A_SCDPT4!$L$380</definedName>
    <definedName name="SCDPT4_532BEGINNG_11" localSheetId="7">GMIC_22A_SCDPT4!$M$380</definedName>
    <definedName name="SCDPT4_532BEGINNG_12" localSheetId="7">GMIC_22A_SCDPT4!$N$380</definedName>
    <definedName name="SCDPT4_532BEGINNG_13" localSheetId="7">GMIC_22A_SCDPT4!$O$380</definedName>
    <definedName name="SCDPT4_532BEGINNG_14" localSheetId="7">GMIC_22A_SCDPT4!$P$380</definedName>
    <definedName name="SCDPT4_532BEGINNG_15" localSheetId="7">GMIC_22A_SCDPT4!$Q$380</definedName>
    <definedName name="SCDPT4_532BEGINNG_16" localSheetId="7">GMIC_22A_SCDPT4!$R$380</definedName>
    <definedName name="SCDPT4_532BEGINNG_17" localSheetId="7">GMIC_22A_SCDPT4!$S$380</definedName>
    <definedName name="SCDPT4_532BEGINNG_18" localSheetId="7">GMIC_22A_SCDPT4!$T$380</definedName>
    <definedName name="SCDPT4_532BEGINNG_19" localSheetId="7">GMIC_22A_SCDPT4!$U$380</definedName>
    <definedName name="SCDPT4_532BEGINNG_2" localSheetId="7">GMIC_22A_SCDPT4!$D$380</definedName>
    <definedName name="SCDPT4_532BEGINNG_20" localSheetId="7">GMIC_22A_SCDPT4!$V$380</definedName>
    <definedName name="SCDPT4_532BEGINNG_21" localSheetId="7">GMIC_22A_SCDPT4!$W$380</definedName>
    <definedName name="SCDPT4_532BEGINNG_22" localSheetId="7">GMIC_22A_SCDPT4!$X$380</definedName>
    <definedName name="SCDPT4_532BEGINNG_23" localSheetId="7">GMIC_22A_SCDPT4!$Y$380</definedName>
    <definedName name="SCDPT4_532BEGINNG_24" localSheetId="7">GMIC_22A_SCDPT4!$Z$380</definedName>
    <definedName name="SCDPT4_532BEGINNG_25" localSheetId="7">GMIC_22A_SCDPT4!$AA$380</definedName>
    <definedName name="SCDPT4_532BEGINNG_26" localSheetId="7">GMIC_22A_SCDPT4!$AB$380</definedName>
    <definedName name="SCDPT4_532BEGINNG_27" localSheetId="7">GMIC_22A_SCDPT4!$AC$380</definedName>
    <definedName name="SCDPT4_532BEGINNG_3" localSheetId="7">GMIC_22A_SCDPT4!$E$380</definedName>
    <definedName name="SCDPT4_532BEGINNG_4" localSheetId="7">GMIC_22A_SCDPT4!$F$380</definedName>
    <definedName name="SCDPT4_532BEGINNG_5" localSheetId="7">GMIC_22A_SCDPT4!$G$380</definedName>
    <definedName name="SCDPT4_532BEGINNG_6" localSheetId="7">GMIC_22A_SCDPT4!$H$380</definedName>
    <definedName name="SCDPT4_532BEGINNG_7" localSheetId="7">GMIC_22A_SCDPT4!$I$380</definedName>
    <definedName name="SCDPT4_532BEGINNG_8" localSheetId="7">GMIC_22A_SCDPT4!$J$380</definedName>
    <definedName name="SCDPT4_532BEGINNG_9" localSheetId="7">GMIC_22A_SCDPT4!$K$380</definedName>
    <definedName name="SCDPT4_532ENDINGG_10" localSheetId="7">GMIC_22A_SCDPT4!$L$382</definedName>
    <definedName name="SCDPT4_532ENDINGG_11" localSheetId="7">GMIC_22A_SCDPT4!$M$382</definedName>
    <definedName name="SCDPT4_532ENDINGG_12" localSheetId="7">GMIC_22A_SCDPT4!$N$382</definedName>
    <definedName name="SCDPT4_532ENDINGG_13" localSheetId="7">GMIC_22A_SCDPT4!$O$382</definedName>
    <definedName name="SCDPT4_532ENDINGG_14" localSheetId="7">GMIC_22A_SCDPT4!$P$382</definedName>
    <definedName name="SCDPT4_532ENDINGG_15" localSheetId="7">GMIC_22A_SCDPT4!$Q$382</definedName>
    <definedName name="SCDPT4_532ENDINGG_16" localSheetId="7">GMIC_22A_SCDPT4!$R$382</definedName>
    <definedName name="SCDPT4_532ENDINGG_17" localSheetId="7">GMIC_22A_SCDPT4!$S$382</definedName>
    <definedName name="SCDPT4_532ENDINGG_18" localSheetId="7">GMIC_22A_SCDPT4!$T$382</definedName>
    <definedName name="SCDPT4_532ENDINGG_19" localSheetId="7">GMIC_22A_SCDPT4!$U$382</definedName>
    <definedName name="SCDPT4_532ENDINGG_2" localSheetId="7">GMIC_22A_SCDPT4!$D$382</definedName>
    <definedName name="SCDPT4_532ENDINGG_20" localSheetId="7">GMIC_22A_SCDPT4!$V$382</definedName>
    <definedName name="SCDPT4_532ENDINGG_21" localSheetId="7">GMIC_22A_SCDPT4!$W$382</definedName>
    <definedName name="SCDPT4_532ENDINGG_22" localSheetId="7">GMIC_22A_SCDPT4!$X$382</definedName>
    <definedName name="SCDPT4_532ENDINGG_23" localSheetId="7">GMIC_22A_SCDPT4!$Y$382</definedName>
    <definedName name="SCDPT4_532ENDINGG_24" localSheetId="7">GMIC_22A_SCDPT4!$Z$382</definedName>
    <definedName name="SCDPT4_532ENDINGG_25" localSheetId="7">GMIC_22A_SCDPT4!$AA$382</definedName>
    <definedName name="SCDPT4_532ENDINGG_26" localSheetId="7">GMIC_22A_SCDPT4!$AB$382</definedName>
    <definedName name="SCDPT4_532ENDINGG_27" localSheetId="7">GMIC_22A_SCDPT4!$AC$382</definedName>
    <definedName name="SCDPT4_532ENDINGG_3" localSheetId="7">GMIC_22A_SCDPT4!$E$382</definedName>
    <definedName name="SCDPT4_532ENDINGG_4" localSheetId="7">GMIC_22A_SCDPT4!$F$382</definedName>
    <definedName name="SCDPT4_532ENDINGG_5" localSheetId="7">GMIC_22A_SCDPT4!$G$382</definedName>
    <definedName name="SCDPT4_532ENDINGG_6" localSheetId="7">GMIC_22A_SCDPT4!$H$382</definedName>
    <definedName name="SCDPT4_532ENDINGG_7" localSheetId="7">GMIC_22A_SCDPT4!$I$382</definedName>
    <definedName name="SCDPT4_532ENDINGG_8" localSheetId="7">GMIC_22A_SCDPT4!$J$382</definedName>
    <definedName name="SCDPT4_532ENDINGG_9" localSheetId="7">GMIC_22A_SCDPT4!$K$382</definedName>
    <definedName name="SCDPT4_5510000000_Range" localSheetId="7">GMIC_22A_SCDPT4!$B$384:$AC$386</definedName>
    <definedName name="SCDPT4_5519999999_10" localSheetId="7">GMIC_22A_SCDPT4!$L$387</definedName>
    <definedName name="SCDPT4_5519999999_11" localSheetId="7">GMIC_22A_SCDPT4!$M$387</definedName>
    <definedName name="SCDPT4_5519999999_12" localSheetId="7">GMIC_22A_SCDPT4!$N$387</definedName>
    <definedName name="SCDPT4_5519999999_13" localSheetId="7">GMIC_22A_SCDPT4!$O$387</definedName>
    <definedName name="SCDPT4_5519999999_14" localSheetId="7">GMIC_22A_SCDPT4!$P$387</definedName>
    <definedName name="SCDPT4_5519999999_15" localSheetId="7">GMIC_22A_SCDPT4!$Q$387</definedName>
    <definedName name="SCDPT4_5519999999_16" localSheetId="7">GMIC_22A_SCDPT4!$R$387</definedName>
    <definedName name="SCDPT4_5519999999_17" localSheetId="7">GMIC_22A_SCDPT4!$S$387</definedName>
    <definedName name="SCDPT4_5519999999_18" localSheetId="7">GMIC_22A_SCDPT4!$T$387</definedName>
    <definedName name="SCDPT4_5519999999_19" localSheetId="7">GMIC_22A_SCDPT4!$U$387</definedName>
    <definedName name="SCDPT4_5519999999_20" localSheetId="7">GMIC_22A_SCDPT4!$V$387</definedName>
    <definedName name="SCDPT4_5519999999_7" localSheetId="7">GMIC_22A_SCDPT4!$I$387</definedName>
    <definedName name="SCDPT4_5519999999_9" localSheetId="7">GMIC_22A_SCDPT4!$K$387</definedName>
    <definedName name="SCDPT4_551BEGINNG_1" localSheetId="7">GMIC_22A_SCDPT4!$C$384</definedName>
    <definedName name="SCDPT4_551BEGINNG_10" localSheetId="7">GMIC_22A_SCDPT4!$L$384</definedName>
    <definedName name="SCDPT4_551BEGINNG_11" localSheetId="7">GMIC_22A_SCDPT4!$M$384</definedName>
    <definedName name="SCDPT4_551BEGINNG_12" localSheetId="7">GMIC_22A_SCDPT4!$N$384</definedName>
    <definedName name="SCDPT4_551BEGINNG_13" localSheetId="7">GMIC_22A_SCDPT4!$O$384</definedName>
    <definedName name="SCDPT4_551BEGINNG_14" localSheetId="7">GMIC_22A_SCDPT4!$P$384</definedName>
    <definedName name="SCDPT4_551BEGINNG_15" localSheetId="7">GMIC_22A_SCDPT4!$Q$384</definedName>
    <definedName name="SCDPT4_551BEGINNG_16" localSheetId="7">GMIC_22A_SCDPT4!$R$384</definedName>
    <definedName name="SCDPT4_551BEGINNG_17" localSheetId="7">GMIC_22A_SCDPT4!$S$384</definedName>
    <definedName name="SCDPT4_551BEGINNG_18" localSheetId="7">GMIC_22A_SCDPT4!$T$384</definedName>
    <definedName name="SCDPT4_551BEGINNG_19" localSheetId="7">GMIC_22A_SCDPT4!$U$384</definedName>
    <definedName name="SCDPT4_551BEGINNG_2" localSheetId="7">GMIC_22A_SCDPT4!$D$384</definedName>
    <definedName name="SCDPT4_551BEGINNG_20" localSheetId="7">GMIC_22A_SCDPT4!$V$384</definedName>
    <definedName name="SCDPT4_551BEGINNG_21" localSheetId="7">GMIC_22A_SCDPT4!$W$384</definedName>
    <definedName name="SCDPT4_551BEGINNG_22" localSheetId="7">GMIC_22A_SCDPT4!$X$384</definedName>
    <definedName name="SCDPT4_551BEGINNG_23" localSheetId="7">GMIC_22A_SCDPT4!$Y$384</definedName>
    <definedName name="SCDPT4_551BEGINNG_24" localSheetId="7">GMIC_22A_SCDPT4!$Z$384</definedName>
    <definedName name="SCDPT4_551BEGINNG_25" localSheetId="7">GMIC_22A_SCDPT4!$AA$384</definedName>
    <definedName name="SCDPT4_551BEGINNG_26" localSheetId="7">GMIC_22A_SCDPT4!$AB$384</definedName>
    <definedName name="SCDPT4_551BEGINNG_27" localSheetId="7">GMIC_22A_SCDPT4!$AC$384</definedName>
    <definedName name="SCDPT4_551BEGINNG_3" localSheetId="7">GMIC_22A_SCDPT4!$E$384</definedName>
    <definedName name="SCDPT4_551BEGINNG_4" localSheetId="7">GMIC_22A_SCDPT4!$F$384</definedName>
    <definedName name="SCDPT4_551BEGINNG_5" localSheetId="7">GMIC_22A_SCDPT4!$G$384</definedName>
    <definedName name="SCDPT4_551BEGINNG_6" localSheetId="7">GMIC_22A_SCDPT4!$H$384</definedName>
    <definedName name="SCDPT4_551BEGINNG_7" localSheetId="7">GMIC_22A_SCDPT4!$I$384</definedName>
    <definedName name="SCDPT4_551BEGINNG_8" localSheetId="7">GMIC_22A_SCDPT4!$J$384</definedName>
    <definedName name="SCDPT4_551BEGINNG_9" localSheetId="7">GMIC_22A_SCDPT4!$K$384</definedName>
    <definedName name="SCDPT4_551ENDINGG_10" localSheetId="7">GMIC_22A_SCDPT4!$L$386</definedName>
    <definedName name="SCDPT4_551ENDINGG_11" localSheetId="7">GMIC_22A_SCDPT4!$M$386</definedName>
    <definedName name="SCDPT4_551ENDINGG_12" localSheetId="7">GMIC_22A_SCDPT4!$N$386</definedName>
    <definedName name="SCDPT4_551ENDINGG_13" localSheetId="7">GMIC_22A_SCDPT4!$O$386</definedName>
    <definedName name="SCDPT4_551ENDINGG_14" localSheetId="7">GMIC_22A_SCDPT4!$P$386</definedName>
    <definedName name="SCDPT4_551ENDINGG_15" localSheetId="7">GMIC_22A_SCDPT4!$Q$386</definedName>
    <definedName name="SCDPT4_551ENDINGG_16" localSheetId="7">GMIC_22A_SCDPT4!$R$386</definedName>
    <definedName name="SCDPT4_551ENDINGG_17" localSheetId="7">GMIC_22A_SCDPT4!$S$386</definedName>
    <definedName name="SCDPT4_551ENDINGG_18" localSheetId="7">GMIC_22A_SCDPT4!$T$386</definedName>
    <definedName name="SCDPT4_551ENDINGG_19" localSheetId="7">GMIC_22A_SCDPT4!$U$386</definedName>
    <definedName name="SCDPT4_551ENDINGG_2" localSheetId="7">GMIC_22A_SCDPT4!$D$386</definedName>
    <definedName name="SCDPT4_551ENDINGG_20" localSheetId="7">GMIC_22A_SCDPT4!$V$386</definedName>
    <definedName name="SCDPT4_551ENDINGG_21" localSheetId="7">GMIC_22A_SCDPT4!$W$386</definedName>
    <definedName name="SCDPT4_551ENDINGG_22" localSheetId="7">GMIC_22A_SCDPT4!$X$386</definedName>
    <definedName name="SCDPT4_551ENDINGG_23" localSheetId="7">GMIC_22A_SCDPT4!$Y$386</definedName>
    <definedName name="SCDPT4_551ENDINGG_24" localSheetId="7">GMIC_22A_SCDPT4!$Z$386</definedName>
    <definedName name="SCDPT4_551ENDINGG_25" localSheetId="7">GMIC_22A_SCDPT4!$AA$386</definedName>
    <definedName name="SCDPT4_551ENDINGG_26" localSheetId="7">GMIC_22A_SCDPT4!$AB$386</definedName>
    <definedName name="SCDPT4_551ENDINGG_27" localSheetId="7">GMIC_22A_SCDPT4!$AC$386</definedName>
    <definedName name="SCDPT4_551ENDINGG_3" localSheetId="7">GMIC_22A_SCDPT4!$E$386</definedName>
    <definedName name="SCDPT4_551ENDINGG_4" localSheetId="7">GMIC_22A_SCDPT4!$F$386</definedName>
    <definedName name="SCDPT4_551ENDINGG_5" localSheetId="7">GMIC_22A_SCDPT4!$G$386</definedName>
    <definedName name="SCDPT4_551ENDINGG_6" localSheetId="7">GMIC_22A_SCDPT4!$H$386</definedName>
    <definedName name="SCDPT4_551ENDINGG_7" localSheetId="7">GMIC_22A_SCDPT4!$I$386</definedName>
    <definedName name="SCDPT4_551ENDINGG_8" localSheetId="7">GMIC_22A_SCDPT4!$J$386</definedName>
    <definedName name="SCDPT4_551ENDINGG_9" localSheetId="7">GMIC_22A_SCDPT4!$K$386</definedName>
    <definedName name="SCDPT4_5520000000_Range" localSheetId="7">GMIC_22A_SCDPT4!$B$388:$AC$390</definedName>
    <definedName name="SCDPT4_5529999999_10" localSheetId="7">GMIC_22A_SCDPT4!$L$391</definedName>
    <definedName name="SCDPT4_5529999999_11" localSheetId="7">GMIC_22A_SCDPT4!$M$391</definedName>
    <definedName name="SCDPT4_5529999999_12" localSheetId="7">GMIC_22A_SCDPT4!$N$391</definedName>
    <definedName name="SCDPT4_5529999999_13" localSheetId="7">GMIC_22A_SCDPT4!$O$391</definedName>
    <definedName name="SCDPT4_5529999999_14" localSheetId="7">GMIC_22A_SCDPT4!$P$391</definedName>
    <definedName name="SCDPT4_5529999999_15" localSheetId="7">GMIC_22A_SCDPT4!$Q$391</definedName>
    <definedName name="SCDPT4_5529999999_16" localSheetId="7">GMIC_22A_SCDPT4!$R$391</definedName>
    <definedName name="SCDPT4_5529999999_17" localSheetId="7">GMIC_22A_SCDPT4!$S$391</definedName>
    <definedName name="SCDPT4_5529999999_18" localSheetId="7">GMIC_22A_SCDPT4!$T$391</definedName>
    <definedName name="SCDPT4_5529999999_19" localSheetId="7">GMIC_22A_SCDPT4!$U$391</definedName>
    <definedName name="SCDPT4_5529999999_20" localSheetId="7">GMIC_22A_SCDPT4!$V$391</definedName>
    <definedName name="SCDPT4_5529999999_7" localSheetId="7">GMIC_22A_SCDPT4!$I$391</definedName>
    <definedName name="SCDPT4_5529999999_9" localSheetId="7">GMIC_22A_SCDPT4!$K$391</definedName>
    <definedName name="SCDPT4_552BEGINNG_1" localSheetId="7">GMIC_22A_SCDPT4!$C$388</definedName>
    <definedName name="SCDPT4_552BEGINNG_10" localSheetId="7">GMIC_22A_SCDPT4!$L$388</definedName>
    <definedName name="SCDPT4_552BEGINNG_11" localSheetId="7">GMIC_22A_SCDPT4!$M$388</definedName>
    <definedName name="SCDPT4_552BEGINNG_12" localSheetId="7">GMIC_22A_SCDPT4!$N$388</definedName>
    <definedName name="SCDPT4_552BEGINNG_13" localSheetId="7">GMIC_22A_SCDPT4!$O$388</definedName>
    <definedName name="SCDPT4_552BEGINNG_14" localSheetId="7">GMIC_22A_SCDPT4!$P$388</definedName>
    <definedName name="SCDPT4_552BEGINNG_15" localSheetId="7">GMIC_22A_SCDPT4!$Q$388</definedName>
    <definedName name="SCDPT4_552BEGINNG_16" localSheetId="7">GMIC_22A_SCDPT4!$R$388</definedName>
    <definedName name="SCDPT4_552BEGINNG_17" localSheetId="7">GMIC_22A_SCDPT4!$S$388</definedName>
    <definedName name="SCDPT4_552BEGINNG_18" localSheetId="7">GMIC_22A_SCDPT4!$T$388</definedName>
    <definedName name="SCDPT4_552BEGINNG_19" localSheetId="7">GMIC_22A_SCDPT4!$U$388</definedName>
    <definedName name="SCDPT4_552BEGINNG_2" localSheetId="7">GMIC_22A_SCDPT4!$D$388</definedName>
    <definedName name="SCDPT4_552BEGINNG_20" localSheetId="7">GMIC_22A_SCDPT4!$V$388</definedName>
    <definedName name="SCDPT4_552BEGINNG_21" localSheetId="7">GMIC_22A_SCDPT4!$W$388</definedName>
    <definedName name="SCDPT4_552BEGINNG_22" localSheetId="7">GMIC_22A_SCDPT4!$X$388</definedName>
    <definedName name="SCDPT4_552BEGINNG_23" localSheetId="7">GMIC_22A_SCDPT4!$Y$388</definedName>
    <definedName name="SCDPT4_552BEGINNG_24" localSheetId="7">GMIC_22A_SCDPT4!$Z$388</definedName>
    <definedName name="SCDPT4_552BEGINNG_25" localSheetId="7">GMIC_22A_SCDPT4!$AA$388</definedName>
    <definedName name="SCDPT4_552BEGINNG_26" localSheetId="7">GMIC_22A_SCDPT4!$AB$388</definedName>
    <definedName name="SCDPT4_552BEGINNG_27" localSheetId="7">GMIC_22A_SCDPT4!$AC$388</definedName>
    <definedName name="SCDPT4_552BEGINNG_3" localSheetId="7">GMIC_22A_SCDPT4!$E$388</definedName>
    <definedName name="SCDPT4_552BEGINNG_4" localSheetId="7">GMIC_22A_SCDPT4!$F$388</definedName>
    <definedName name="SCDPT4_552BEGINNG_5" localSheetId="7">GMIC_22A_SCDPT4!$G$388</definedName>
    <definedName name="SCDPT4_552BEGINNG_6" localSheetId="7">GMIC_22A_SCDPT4!$H$388</definedName>
    <definedName name="SCDPT4_552BEGINNG_7" localSheetId="7">GMIC_22A_SCDPT4!$I$388</definedName>
    <definedName name="SCDPT4_552BEGINNG_8" localSheetId="7">GMIC_22A_SCDPT4!$J$388</definedName>
    <definedName name="SCDPT4_552BEGINNG_9" localSheetId="7">GMIC_22A_SCDPT4!$K$388</definedName>
    <definedName name="SCDPT4_552ENDINGG_10" localSheetId="7">GMIC_22A_SCDPT4!$L$390</definedName>
    <definedName name="SCDPT4_552ENDINGG_11" localSheetId="7">GMIC_22A_SCDPT4!$M$390</definedName>
    <definedName name="SCDPT4_552ENDINGG_12" localSheetId="7">GMIC_22A_SCDPT4!$N$390</definedName>
    <definedName name="SCDPT4_552ENDINGG_13" localSheetId="7">GMIC_22A_SCDPT4!$O$390</definedName>
    <definedName name="SCDPT4_552ENDINGG_14" localSheetId="7">GMIC_22A_SCDPT4!$P$390</definedName>
    <definedName name="SCDPT4_552ENDINGG_15" localSheetId="7">GMIC_22A_SCDPT4!$Q$390</definedName>
    <definedName name="SCDPT4_552ENDINGG_16" localSheetId="7">GMIC_22A_SCDPT4!$R$390</definedName>
    <definedName name="SCDPT4_552ENDINGG_17" localSheetId="7">GMIC_22A_SCDPT4!$S$390</definedName>
    <definedName name="SCDPT4_552ENDINGG_18" localSheetId="7">GMIC_22A_SCDPT4!$T$390</definedName>
    <definedName name="SCDPT4_552ENDINGG_19" localSheetId="7">GMIC_22A_SCDPT4!$U$390</definedName>
    <definedName name="SCDPT4_552ENDINGG_2" localSheetId="7">GMIC_22A_SCDPT4!$D$390</definedName>
    <definedName name="SCDPT4_552ENDINGG_20" localSheetId="7">GMIC_22A_SCDPT4!$V$390</definedName>
    <definedName name="SCDPT4_552ENDINGG_21" localSheetId="7">GMIC_22A_SCDPT4!$W$390</definedName>
    <definedName name="SCDPT4_552ENDINGG_22" localSheetId="7">GMIC_22A_SCDPT4!$X$390</definedName>
    <definedName name="SCDPT4_552ENDINGG_23" localSheetId="7">GMIC_22A_SCDPT4!$Y$390</definedName>
    <definedName name="SCDPT4_552ENDINGG_24" localSheetId="7">GMIC_22A_SCDPT4!$Z$390</definedName>
    <definedName name="SCDPT4_552ENDINGG_25" localSheetId="7">GMIC_22A_SCDPT4!$AA$390</definedName>
    <definedName name="SCDPT4_552ENDINGG_26" localSheetId="7">GMIC_22A_SCDPT4!$AB$390</definedName>
    <definedName name="SCDPT4_552ENDINGG_27" localSheetId="7">GMIC_22A_SCDPT4!$AC$390</definedName>
    <definedName name="SCDPT4_552ENDINGG_3" localSheetId="7">GMIC_22A_SCDPT4!$E$390</definedName>
    <definedName name="SCDPT4_552ENDINGG_4" localSheetId="7">GMIC_22A_SCDPT4!$F$390</definedName>
    <definedName name="SCDPT4_552ENDINGG_5" localSheetId="7">GMIC_22A_SCDPT4!$G$390</definedName>
    <definedName name="SCDPT4_552ENDINGG_6" localSheetId="7">GMIC_22A_SCDPT4!$H$390</definedName>
    <definedName name="SCDPT4_552ENDINGG_7" localSheetId="7">GMIC_22A_SCDPT4!$I$390</definedName>
    <definedName name="SCDPT4_552ENDINGG_8" localSheetId="7">GMIC_22A_SCDPT4!$J$390</definedName>
    <definedName name="SCDPT4_552ENDINGG_9" localSheetId="7">GMIC_22A_SCDPT4!$K$390</definedName>
    <definedName name="SCDPT4_5710000000_Range" localSheetId="7">GMIC_22A_SCDPT4!$B$392:$AC$394</definedName>
    <definedName name="SCDPT4_5719999999_10" localSheetId="7">GMIC_22A_SCDPT4!$L$395</definedName>
    <definedName name="SCDPT4_5719999999_11" localSheetId="7">GMIC_22A_SCDPT4!$M$395</definedName>
    <definedName name="SCDPT4_5719999999_12" localSheetId="7">GMIC_22A_SCDPT4!$N$395</definedName>
    <definedName name="SCDPT4_5719999999_13" localSheetId="7">GMIC_22A_SCDPT4!$O$395</definedName>
    <definedName name="SCDPT4_5719999999_14" localSheetId="7">GMIC_22A_SCDPT4!$P$395</definedName>
    <definedName name="SCDPT4_5719999999_15" localSheetId="7">GMIC_22A_SCDPT4!$Q$395</definedName>
    <definedName name="SCDPT4_5719999999_16" localSheetId="7">GMIC_22A_SCDPT4!$R$395</definedName>
    <definedName name="SCDPT4_5719999999_17" localSheetId="7">GMIC_22A_SCDPT4!$S$395</definedName>
    <definedName name="SCDPT4_5719999999_18" localSheetId="7">GMIC_22A_SCDPT4!$T$395</definedName>
    <definedName name="SCDPT4_5719999999_19" localSheetId="7">GMIC_22A_SCDPT4!$U$395</definedName>
    <definedName name="SCDPT4_5719999999_20" localSheetId="7">GMIC_22A_SCDPT4!$V$395</definedName>
    <definedName name="SCDPT4_5719999999_7" localSheetId="7">GMIC_22A_SCDPT4!$I$395</definedName>
    <definedName name="SCDPT4_5719999999_9" localSheetId="7">GMIC_22A_SCDPT4!$K$395</definedName>
    <definedName name="SCDPT4_571BEGINNG_1" localSheetId="7">GMIC_22A_SCDPT4!$C$392</definedName>
    <definedName name="SCDPT4_571BEGINNG_10" localSheetId="7">GMIC_22A_SCDPT4!$L$392</definedName>
    <definedName name="SCDPT4_571BEGINNG_11" localSheetId="7">GMIC_22A_SCDPT4!$M$392</definedName>
    <definedName name="SCDPT4_571BEGINNG_12" localSheetId="7">GMIC_22A_SCDPT4!$N$392</definedName>
    <definedName name="SCDPT4_571BEGINNG_13" localSheetId="7">GMIC_22A_SCDPT4!$O$392</definedName>
    <definedName name="SCDPT4_571BEGINNG_14" localSheetId="7">GMIC_22A_SCDPT4!$P$392</definedName>
    <definedName name="SCDPT4_571BEGINNG_15" localSheetId="7">GMIC_22A_SCDPT4!$Q$392</definedName>
    <definedName name="SCDPT4_571BEGINNG_16" localSheetId="7">GMIC_22A_SCDPT4!$R$392</definedName>
    <definedName name="SCDPT4_571BEGINNG_17" localSheetId="7">GMIC_22A_SCDPT4!$S$392</definedName>
    <definedName name="SCDPT4_571BEGINNG_18" localSheetId="7">GMIC_22A_SCDPT4!$T$392</definedName>
    <definedName name="SCDPT4_571BEGINNG_19" localSheetId="7">GMIC_22A_SCDPT4!$U$392</definedName>
    <definedName name="SCDPT4_571BEGINNG_2" localSheetId="7">GMIC_22A_SCDPT4!$D$392</definedName>
    <definedName name="SCDPT4_571BEGINNG_20" localSheetId="7">GMIC_22A_SCDPT4!$V$392</definedName>
    <definedName name="SCDPT4_571BEGINNG_21" localSheetId="7">GMIC_22A_SCDPT4!$W$392</definedName>
    <definedName name="SCDPT4_571BEGINNG_22" localSheetId="7">GMIC_22A_SCDPT4!$X$392</definedName>
    <definedName name="SCDPT4_571BEGINNG_23" localSheetId="7">GMIC_22A_SCDPT4!$Y$392</definedName>
    <definedName name="SCDPT4_571BEGINNG_24" localSheetId="7">GMIC_22A_SCDPT4!$Z$392</definedName>
    <definedName name="SCDPT4_571BEGINNG_25" localSheetId="7">GMIC_22A_SCDPT4!$AA$392</definedName>
    <definedName name="SCDPT4_571BEGINNG_26" localSheetId="7">GMIC_22A_SCDPT4!$AB$392</definedName>
    <definedName name="SCDPT4_571BEGINNG_27" localSheetId="7">GMIC_22A_SCDPT4!$AC$392</definedName>
    <definedName name="SCDPT4_571BEGINNG_3" localSheetId="7">GMIC_22A_SCDPT4!$E$392</definedName>
    <definedName name="SCDPT4_571BEGINNG_4" localSheetId="7">GMIC_22A_SCDPT4!$F$392</definedName>
    <definedName name="SCDPT4_571BEGINNG_5" localSheetId="7">GMIC_22A_SCDPT4!$G$392</definedName>
    <definedName name="SCDPT4_571BEGINNG_6" localSheetId="7">GMIC_22A_SCDPT4!$H$392</definedName>
    <definedName name="SCDPT4_571BEGINNG_7" localSheetId="7">GMIC_22A_SCDPT4!$I$392</definedName>
    <definedName name="SCDPT4_571BEGINNG_8" localSheetId="7">GMIC_22A_SCDPT4!$J$392</definedName>
    <definedName name="SCDPT4_571BEGINNG_9" localSheetId="7">GMIC_22A_SCDPT4!$K$392</definedName>
    <definedName name="SCDPT4_571ENDINGG_10" localSheetId="7">GMIC_22A_SCDPT4!$L$394</definedName>
    <definedName name="SCDPT4_571ENDINGG_11" localSheetId="7">GMIC_22A_SCDPT4!$M$394</definedName>
    <definedName name="SCDPT4_571ENDINGG_12" localSheetId="7">GMIC_22A_SCDPT4!$N$394</definedName>
    <definedName name="SCDPT4_571ENDINGG_13" localSheetId="7">GMIC_22A_SCDPT4!$O$394</definedName>
    <definedName name="SCDPT4_571ENDINGG_14" localSheetId="7">GMIC_22A_SCDPT4!$P$394</definedName>
    <definedName name="SCDPT4_571ENDINGG_15" localSheetId="7">GMIC_22A_SCDPT4!$Q$394</definedName>
    <definedName name="SCDPT4_571ENDINGG_16" localSheetId="7">GMIC_22A_SCDPT4!$R$394</definedName>
    <definedName name="SCDPT4_571ENDINGG_17" localSheetId="7">GMIC_22A_SCDPT4!$S$394</definedName>
    <definedName name="SCDPT4_571ENDINGG_18" localSheetId="7">GMIC_22A_SCDPT4!$T$394</definedName>
    <definedName name="SCDPT4_571ENDINGG_19" localSheetId="7">GMIC_22A_SCDPT4!$U$394</definedName>
    <definedName name="SCDPT4_571ENDINGG_2" localSheetId="7">GMIC_22A_SCDPT4!$D$394</definedName>
    <definedName name="SCDPT4_571ENDINGG_20" localSheetId="7">GMIC_22A_SCDPT4!$V$394</definedName>
    <definedName name="SCDPT4_571ENDINGG_21" localSheetId="7">GMIC_22A_SCDPT4!$W$394</definedName>
    <definedName name="SCDPT4_571ENDINGG_22" localSheetId="7">GMIC_22A_SCDPT4!$X$394</definedName>
    <definedName name="SCDPT4_571ENDINGG_23" localSheetId="7">GMIC_22A_SCDPT4!$Y$394</definedName>
    <definedName name="SCDPT4_571ENDINGG_24" localSheetId="7">GMIC_22A_SCDPT4!$Z$394</definedName>
    <definedName name="SCDPT4_571ENDINGG_25" localSheetId="7">GMIC_22A_SCDPT4!$AA$394</definedName>
    <definedName name="SCDPT4_571ENDINGG_26" localSheetId="7">GMIC_22A_SCDPT4!$AB$394</definedName>
    <definedName name="SCDPT4_571ENDINGG_27" localSheetId="7">GMIC_22A_SCDPT4!$AC$394</definedName>
    <definedName name="SCDPT4_571ENDINGG_3" localSheetId="7">GMIC_22A_SCDPT4!$E$394</definedName>
    <definedName name="SCDPT4_571ENDINGG_4" localSheetId="7">GMIC_22A_SCDPT4!$F$394</definedName>
    <definedName name="SCDPT4_571ENDINGG_5" localSheetId="7">GMIC_22A_SCDPT4!$G$394</definedName>
    <definedName name="SCDPT4_571ENDINGG_6" localSheetId="7">GMIC_22A_SCDPT4!$H$394</definedName>
    <definedName name="SCDPT4_571ENDINGG_7" localSheetId="7">GMIC_22A_SCDPT4!$I$394</definedName>
    <definedName name="SCDPT4_571ENDINGG_8" localSheetId="7">GMIC_22A_SCDPT4!$J$394</definedName>
    <definedName name="SCDPT4_571ENDINGG_9" localSheetId="7">GMIC_22A_SCDPT4!$K$394</definedName>
    <definedName name="SCDPT4_5720000000_Range" localSheetId="7">GMIC_22A_SCDPT4!$B$396:$AC$398</definedName>
    <definedName name="SCDPT4_5729999999_10" localSheetId="7">GMIC_22A_SCDPT4!$L$399</definedName>
    <definedName name="SCDPT4_5729999999_11" localSheetId="7">GMIC_22A_SCDPT4!$M$399</definedName>
    <definedName name="SCDPT4_5729999999_12" localSheetId="7">GMIC_22A_SCDPT4!$N$399</definedName>
    <definedName name="SCDPT4_5729999999_13" localSheetId="7">GMIC_22A_SCDPT4!$O$399</definedName>
    <definedName name="SCDPT4_5729999999_14" localSheetId="7">GMIC_22A_SCDPT4!$P$399</definedName>
    <definedName name="SCDPT4_5729999999_15" localSheetId="7">GMIC_22A_SCDPT4!$Q$399</definedName>
    <definedName name="SCDPT4_5729999999_16" localSheetId="7">GMIC_22A_SCDPT4!$R$399</definedName>
    <definedName name="SCDPT4_5729999999_17" localSheetId="7">GMIC_22A_SCDPT4!$S$399</definedName>
    <definedName name="SCDPT4_5729999999_18" localSheetId="7">GMIC_22A_SCDPT4!$T$399</definedName>
    <definedName name="SCDPT4_5729999999_19" localSheetId="7">GMIC_22A_SCDPT4!$U$399</definedName>
    <definedName name="SCDPT4_5729999999_20" localSheetId="7">GMIC_22A_SCDPT4!$V$399</definedName>
    <definedName name="SCDPT4_5729999999_7" localSheetId="7">GMIC_22A_SCDPT4!$I$399</definedName>
    <definedName name="SCDPT4_5729999999_9" localSheetId="7">GMIC_22A_SCDPT4!$K$399</definedName>
    <definedName name="SCDPT4_572BEGINNG_1" localSheetId="7">GMIC_22A_SCDPT4!$C$396</definedName>
    <definedName name="SCDPT4_572BEGINNG_10" localSheetId="7">GMIC_22A_SCDPT4!$L$396</definedName>
    <definedName name="SCDPT4_572BEGINNG_11" localSheetId="7">GMIC_22A_SCDPT4!$M$396</definedName>
    <definedName name="SCDPT4_572BEGINNG_12" localSheetId="7">GMIC_22A_SCDPT4!$N$396</definedName>
    <definedName name="SCDPT4_572BEGINNG_13" localSheetId="7">GMIC_22A_SCDPT4!$O$396</definedName>
    <definedName name="SCDPT4_572BEGINNG_14" localSheetId="7">GMIC_22A_SCDPT4!$P$396</definedName>
    <definedName name="SCDPT4_572BEGINNG_15" localSheetId="7">GMIC_22A_SCDPT4!$Q$396</definedName>
    <definedName name="SCDPT4_572BEGINNG_16" localSheetId="7">GMIC_22A_SCDPT4!$R$396</definedName>
    <definedName name="SCDPT4_572BEGINNG_17" localSheetId="7">GMIC_22A_SCDPT4!$S$396</definedName>
    <definedName name="SCDPT4_572BEGINNG_18" localSheetId="7">GMIC_22A_SCDPT4!$T$396</definedName>
    <definedName name="SCDPT4_572BEGINNG_19" localSheetId="7">GMIC_22A_SCDPT4!$U$396</definedName>
    <definedName name="SCDPT4_572BEGINNG_2" localSheetId="7">GMIC_22A_SCDPT4!$D$396</definedName>
    <definedName name="SCDPT4_572BEGINNG_20" localSheetId="7">GMIC_22A_SCDPT4!$V$396</definedName>
    <definedName name="SCDPT4_572BEGINNG_21" localSheetId="7">GMIC_22A_SCDPT4!$W$396</definedName>
    <definedName name="SCDPT4_572BEGINNG_22" localSheetId="7">GMIC_22A_SCDPT4!$X$396</definedName>
    <definedName name="SCDPT4_572BEGINNG_23" localSheetId="7">GMIC_22A_SCDPT4!$Y$396</definedName>
    <definedName name="SCDPT4_572BEGINNG_24" localSheetId="7">GMIC_22A_SCDPT4!$Z$396</definedName>
    <definedName name="SCDPT4_572BEGINNG_25" localSheetId="7">GMIC_22A_SCDPT4!$AA$396</definedName>
    <definedName name="SCDPT4_572BEGINNG_26" localSheetId="7">GMIC_22A_SCDPT4!$AB$396</definedName>
    <definedName name="SCDPT4_572BEGINNG_27" localSheetId="7">GMIC_22A_SCDPT4!$AC$396</definedName>
    <definedName name="SCDPT4_572BEGINNG_3" localSheetId="7">GMIC_22A_SCDPT4!$E$396</definedName>
    <definedName name="SCDPT4_572BEGINNG_4" localSheetId="7">GMIC_22A_SCDPT4!$F$396</definedName>
    <definedName name="SCDPT4_572BEGINNG_5" localSheetId="7">GMIC_22A_SCDPT4!$G$396</definedName>
    <definedName name="SCDPT4_572BEGINNG_6" localSheetId="7">GMIC_22A_SCDPT4!$H$396</definedName>
    <definedName name="SCDPT4_572BEGINNG_7" localSheetId="7">GMIC_22A_SCDPT4!$I$396</definedName>
    <definedName name="SCDPT4_572BEGINNG_8" localSheetId="7">GMIC_22A_SCDPT4!$J$396</definedName>
    <definedName name="SCDPT4_572BEGINNG_9" localSheetId="7">GMIC_22A_SCDPT4!$K$396</definedName>
    <definedName name="SCDPT4_572ENDINGG_10" localSheetId="7">GMIC_22A_SCDPT4!$L$398</definedName>
    <definedName name="SCDPT4_572ENDINGG_11" localSheetId="7">GMIC_22A_SCDPT4!$M$398</definedName>
    <definedName name="SCDPT4_572ENDINGG_12" localSheetId="7">GMIC_22A_SCDPT4!$N$398</definedName>
    <definedName name="SCDPT4_572ENDINGG_13" localSheetId="7">GMIC_22A_SCDPT4!$O$398</definedName>
    <definedName name="SCDPT4_572ENDINGG_14" localSheetId="7">GMIC_22A_SCDPT4!$P$398</definedName>
    <definedName name="SCDPT4_572ENDINGG_15" localSheetId="7">GMIC_22A_SCDPT4!$Q$398</definedName>
    <definedName name="SCDPT4_572ENDINGG_16" localSheetId="7">GMIC_22A_SCDPT4!$R$398</definedName>
    <definedName name="SCDPT4_572ENDINGG_17" localSheetId="7">GMIC_22A_SCDPT4!$S$398</definedName>
    <definedName name="SCDPT4_572ENDINGG_18" localSheetId="7">GMIC_22A_SCDPT4!$T$398</definedName>
    <definedName name="SCDPT4_572ENDINGG_19" localSheetId="7">GMIC_22A_SCDPT4!$U$398</definedName>
    <definedName name="SCDPT4_572ENDINGG_2" localSheetId="7">GMIC_22A_SCDPT4!$D$398</definedName>
    <definedName name="SCDPT4_572ENDINGG_20" localSheetId="7">GMIC_22A_SCDPT4!$V$398</definedName>
    <definedName name="SCDPT4_572ENDINGG_21" localSheetId="7">GMIC_22A_SCDPT4!$W$398</definedName>
    <definedName name="SCDPT4_572ENDINGG_22" localSheetId="7">GMIC_22A_SCDPT4!$X$398</definedName>
    <definedName name="SCDPT4_572ENDINGG_23" localSheetId="7">GMIC_22A_SCDPT4!$Y$398</definedName>
    <definedName name="SCDPT4_572ENDINGG_24" localSheetId="7">GMIC_22A_SCDPT4!$Z$398</definedName>
    <definedName name="SCDPT4_572ENDINGG_25" localSheetId="7">GMIC_22A_SCDPT4!$AA$398</definedName>
    <definedName name="SCDPT4_572ENDINGG_26" localSheetId="7">GMIC_22A_SCDPT4!$AB$398</definedName>
    <definedName name="SCDPT4_572ENDINGG_27" localSheetId="7">GMIC_22A_SCDPT4!$AC$398</definedName>
    <definedName name="SCDPT4_572ENDINGG_3" localSheetId="7">GMIC_22A_SCDPT4!$E$398</definedName>
    <definedName name="SCDPT4_572ENDINGG_4" localSheetId="7">GMIC_22A_SCDPT4!$F$398</definedName>
    <definedName name="SCDPT4_572ENDINGG_5" localSheetId="7">GMIC_22A_SCDPT4!$G$398</definedName>
    <definedName name="SCDPT4_572ENDINGG_6" localSheetId="7">GMIC_22A_SCDPT4!$H$398</definedName>
    <definedName name="SCDPT4_572ENDINGG_7" localSheetId="7">GMIC_22A_SCDPT4!$I$398</definedName>
    <definedName name="SCDPT4_572ENDINGG_8" localSheetId="7">GMIC_22A_SCDPT4!$J$398</definedName>
    <definedName name="SCDPT4_572ENDINGG_9" localSheetId="7">GMIC_22A_SCDPT4!$K$398</definedName>
    <definedName name="SCDPT4_5810000000_Range" localSheetId="7">GMIC_22A_SCDPT4!$B$400:$AC$402</definedName>
    <definedName name="SCDPT4_5819999999_10" localSheetId="7">GMIC_22A_SCDPT4!$L$403</definedName>
    <definedName name="SCDPT4_5819999999_11" localSheetId="7">GMIC_22A_SCDPT4!$M$403</definedName>
    <definedName name="SCDPT4_5819999999_12" localSheetId="7">GMIC_22A_SCDPT4!$N$403</definedName>
    <definedName name="SCDPT4_5819999999_13" localSheetId="7">GMIC_22A_SCDPT4!$O$403</definedName>
    <definedName name="SCDPT4_5819999999_14" localSheetId="7">GMIC_22A_SCDPT4!$P$403</definedName>
    <definedName name="SCDPT4_5819999999_15" localSheetId="7">GMIC_22A_SCDPT4!$Q$403</definedName>
    <definedName name="SCDPT4_5819999999_16" localSheetId="7">GMIC_22A_SCDPT4!$R$403</definedName>
    <definedName name="SCDPT4_5819999999_17" localSheetId="7">GMIC_22A_SCDPT4!$S$403</definedName>
    <definedName name="SCDPT4_5819999999_18" localSheetId="7">GMIC_22A_SCDPT4!$T$403</definedName>
    <definedName name="SCDPT4_5819999999_19" localSheetId="7">GMIC_22A_SCDPT4!$U$403</definedName>
    <definedName name="SCDPT4_5819999999_20" localSheetId="7">GMIC_22A_SCDPT4!$V$403</definedName>
    <definedName name="SCDPT4_5819999999_7" localSheetId="7">GMIC_22A_SCDPT4!$I$403</definedName>
    <definedName name="SCDPT4_5819999999_9" localSheetId="7">GMIC_22A_SCDPT4!$K$403</definedName>
    <definedName name="SCDPT4_581BEGINNG_1" localSheetId="7">GMIC_22A_SCDPT4!$C$400</definedName>
    <definedName name="SCDPT4_581BEGINNG_10" localSheetId="7">GMIC_22A_SCDPT4!$L$400</definedName>
    <definedName name="SCDPT4_581BEGINNG_11" localSheetId="7">GMIC_22A_SCDPT4!$M$400</definedName>
    <definedName name="SCDPT4_581BEGINNG_12" localSheetId="7">GMIC_22A_SCDPT4!$N$400</definedName>
    <definedName name="SCDPT4_581BEGINNG_13" localSheetId="7">GMIC_22A_SCDPT4!$O$400</definedName>
    <definedName name="SCDPT4_581BEGINNG_14" localSheetId="7">GMIC_22A_SCDPT4!$P$400</definedName>
    <definedName name="SCDPT4_581BEGINNG_15" localSheetId="7">GMIC_22A_SCDPT4!$Q$400</definedName>
    <definedName name="SCDPT4_581BEGINNG_16" localSheetId="7">GMIC_22A_SCDPT4!$R$400</definedName>
    <definedName name="SCDPT4_581BEGINNG_17" localSheetId="7">GMIC_22A_SCDPT4!$S$400</definedName>
    <definedName name="SCDPT4_581BEGINNG_18" localSheetId="7">GMIC_22A_SCDPT4!$T$400</definedName>
    <definedName name="SCDPT4_581BEGINNG_19" localSheetId="7">GMIC_22A_SCDPT4!$U$400</definedName>
    <definedName name="SCDPT4_581BEGINNG_2" localSheetId="7">GMIC_22A_SCDPT4!$D$400</definedName>
    <definedName name="SCDPT4_581BEGINNG_20" localSheetId="7">GMIC_22A_SCDPT4!$V$400</definedName>
    <definedName name="SCDPT4_581BEGINNG_21" localSheetId="7">GMIC_22A_SCDPT4!$W$400</definedName>
    <definedName name="SCDPT4_581BEGINNG_22" localSheetId="7">GMIC_22A_SCDPT4!$X$400</definedName>
    <definedName name="SCDPT4_581BEGINNG_23" localSheetId="7">GMIC_22A_SCDPT4!$Y$400</definedName>
    <definedName name="SCDPT4_581BEGINNG_24" localSheetId="7">GMIC_22A_SCDPT4!$Z$400</definedName>
    <definedName name="SCDPT4_581BEGINNG_25" localSheetId="7">GMIC_22A_SCDPT4!$AA$400</definedName>
    <definedName name="SCDPT4_581BEGINNG_26" localSheetId="7">GMIC_22A_SCDPT4!$AB$400</definedName>
    <definedName name="SCDPT4_581BEGINNG_27" localSheetId="7">GMIC_22A_SCDPT4!$AC$400</definedName>
    <definedName name="SCDPT4_581BEGINNG_3" localSheetId="7">GMIC_22A_SCDPT4!$E$400</definedName>
    <definedName name="SCDPT4_581BEGINNG_4" localSheetId="7">GMIC_22A_SCDPT4!$F$400</definedName>
    <definedName name="SCDPT4_581BEGINNG_5" localSheetId="7">GMIC_22A_SCDPT4!$G$400</definedName>
    <definedName name="SCDPT4_581BEGINNG_6" localSheetId="7">GMIC_22A_SCDPT4!$H$400</definedName>
    <definedName name="SCDPT4_581BEGINNG_7" localSheetId="7">GMIC_22A_SCDPT4!$I$400</definedName>
    <definedName name="SCDPT4_581BEGINNG_8" localSheetId="7">GMIC_22A_SCDPT4!$J$400</definedName>
    <definedName name="SCDPT4_581BEGINNG_9" localSheetId="7">GMIC_22A_SCDPT4!$K$400</definedName>
    <definedName name="SCDPT4_581ENDINGG_10" localSheetId="7">GMIC_22A_SCDPT4!$L$402</definedName>
    <definedName name="SCDPT4_581ENDINGG_11" localSheetId="7">GMIC_22A_SCDPT4!$M$402</definedName>
    <definedName name="SCDPT4_581ENDINGG_12" localSheetId="7">GMIC_22A_SCDPT4!$N$402</definedName>
    <definedName name="SCDPT4_581ENDINGG_13" localSheetId="7">GMIC_22A_SCDPT4!$O$402</definedName>
    <definedName name="SCDPT4_581ENDINGG_14" localSheetId="7">GMIC_22A_SCDPT4!$P$402</definedName>
    <definedName name="SCDPT4_581ENDINGG_15" localSheetId="7">GMIC_22A_SCDPT4!$Q$402</definedName>
    <definedName name="SCDPT4_581ENDINGG_16" localSheetId="7">GMIC_22A_SCDPT4!$R$402</definedName>
    <definedName name="SCDPT4_581ENDINGG_17" localSheetId="7">GMIC_22A_SCDPT4!$S$402</definedName>
    <definedName name="SCDPT4_581ENDINGG_18" localSheetId="7">GMIC_22A_SCDPT4!$T$402</definedName>
    <definedName name="SCDPT4_581ENDINGG_19" localSheetId="7">GMIC_22A_SCDPT4!$U$402</definedName>
    <definedName name="SCDPT4_581ENDINGG_2" localSheetId="7">GMIC_22A_SCDPT4!$D$402</definedName>
    <definedName name="SCDPT4_581ENDINGG_20" localSheetId="7">GMIC_22A_SCDPT4!$V$402</definedName>
    <definedName name="SCDPT4_581ENDINGG_21" localSheetId="7">GMIC_22A_SCDPT4!$W$402</definedName>
    <definedName name="SCDPT4_581ENDINGG_22" localSheetId="7">GMIC_22A_SCDPT4!$X$402</definedName>
    <definedName name="SCDPT4_581ENDINGG_23" localSheetId="7">GMIC_22A_SCDPT4!$Y$402</definedName>
    <definedName name="SCDPT4_581ENDINGG_24" localSheetId="7">GMIC_22A_SCDPT4!$Z$402</definedName>
    <definedName name="SCDPT4_581ENDINGG_25" localSheetId="7">GMIC_22A_SCDPT4!$AA$402</definedName>
    <definedName name="SCDPT4_581ENDINGG_26" localSheetId="7">GMIC_22A_SCDPT4!$AB$402</definedName>
    <definedName name="SCDPT4_581ENDINGG_27" localSheetId="7">GMIC_22A_SCDPT4!$AC$402</definedName>
    <definedName name="SCDPT4_581ENDINGG_3" localSheetId="7">GMIC_22A_SCDPT4!$E$402</definedName>
    <definedName name="SCDPT4_581ENDINGG_4" localSheetId="7">GMIC_22A_SCDPT4!$F$402</definedName>
    <definedName name="SCDPT4_581ENDINGG_5" localSheetId="7">GMIC_22A_SCDPT4!$G$402</definedName>
    <definedName name="SCDPT4_581ENDINGG_6" localSheetId="7">GMIC_22A_SCDPT4!$H$402</definedName>
    <definedName name="SCDPT4_581ENDINGG_7" localSheetId="7">GMIC_22A_SCDPT4!$I$402</definedName>
    <definedName name="SCDPT4_581ENDINGG_8" localSheetId="7">GMIC_22A_SCDPT4!$J$402</definedName>
    <definedName name="SCDPT4_581ENDINGG_9" localSheetId="7">GMIC_22A_SCDPT4!$K$402</definedName>
    <definedName name="SCDPT4_5910000000_Range" localSheetId="7">GMIC_22A_SCDPT4!$B$404:$AC$406</definedName>
    <definedName name="SCDPT4_5919999999_10" localSheetId="7">GMIC_22A_SCDPT4!$L$407</definedName>
    <definedName name="SCDPT4_5919999999_11" localSheetId="7">GMIC_22A_SCDPT4!$M$407</definedName>
    <definedName name="SCDPT4_5919999999_12" localSheetId="7">GMIC_22A_SCDPT4!$N$407</definedName>
    <definedName name="SCDPT4_5919999999_13" localSheetId="7">GMIC_22A_SCDPT4!$O$407</definedName>
    <definedName name="SCDPT4_5919999999_14" localSheetId="7">GMIC_22A_SCDPT4!$P$407</definedName>
    <definedName name="SCDPT4_5919999999_15" localSheetId="7">GMIC_22A_SCDPT4!$Q$407</definedName>
    <definedName name="SCDPT4_5919999999_16" localSheetId="7">GMIC_22A_SCDPT4!$R$407</definedName>
    <definedName name="SCDPT4_5919999999_17" localSheetId="7">GMIC_22A_SCDPT4!$S$407</definedName>
    <definedName name="SCDPT4_5919999999_18" localSheetId="7">GMIC_22A_SCDPT4!$T$407</definedName>
    <definedName name="SCDPT4_5919999999_19" localSheetId="7">GMIC_22A_SCDPT4!$U$407</definedName>
    <definedName name="SCDPT4_5919999999_20" localSheetId="7">GMIC_22A_SCDPT4!$V$407</definedName>
    <definedName name="SCDPT4_5919999999_7" localSheetId="7">GMIC_22A_SCDPT4!$I$407</definedName>
    <definedName name="SCDPT4_5919999999_9" localSheetId="7">GMIC_22A_SCDPT4!$K$407</definedName>
    <definedName name="SCDPT4_591BEGINNG_1" localSheetId="7">GMIC_22A_SCDPT4!$C$404</definedName>
    <definedName name="SCDPT4_591BEGINNG_10" localSheetId="7">GMIC_22A_SCDPT4!$L$404</definedName>
    <definedName name="SCDPT4_591BEGINNG_11" localSheetId="7">GMIC_22A_SCDPT4!$M$404</definedName>
    <definedName name="SCDPT4_591BEGINNG_12" localSheetId="7">GMIC_22A_SCDPT4!$N$404</definedName>
    <definedName name="SCDPT4_591BEGINNG_13" localSheetId="7">GMIC_22A_SCDPT4!$O$404</definedName>
    <definedName name="SCDPT4_591BEGINNG_14" localSheetId="7">GMIC_22A_SCDPT4!$P$404</definedName>
    <definedName name="SCDPT4_591BEGINNG_15" localSheetId="7">GMIC_22A_SCDPT4!$Q$404</definedName>
    <definedName name="SCDPT4_591BEGINNG_16" localSheetId="7">GMIC_22A_SCDPT4!$R$404</definedName>
    <definedName name="SCDPT4_591BEGINNG_17" localSheetId="7">GMIC_22A_SCDPT4!$S$404</definedName>
    <definedName name="SCDPT4_591BEGINNG_18" localSheetId="7">GMIC_22A_SCDPT4!$T$404</definedName>
    <definedName name="SCDPT4_591BEGINNG_19" localSheetId="7">GMIC_22A_SCDPT4!$U$404</definedName>
    <definedName name="SCDPT4_591BEGINNG_2" localSheetId="7">GMIC_22A_SCDPT4!$D$404</definedName>
    <definedName name="SCDPT4_591BEGINNG_20" localSheetId="7">GMIC_22A_SCDPT4!$V$404</definedName>
    <definedName name="SCDPT4_591BEGINNG_21" localSheetId="7">GMIC_22A_SCDPT4!$W$404</definedName>
    <definedName name="SCDPT4_591BEGINNG_22" localSheetId="7">GMIC_22A_SCDPT4!$X$404</definedName>
    <definedName name="SCDPT4_591BEGINNG_23" localSheetId="7">GMIC_22A_SCDPT4!$Y$404</definedName>
    <definedName name="SCDPT4_591BEGINNG_24" localSheetId="7">GMIC_22A_SCDPT4!$Z$404</definedName>
    <definedName name="SCDPT4_591BEGINNG_25" localSheetId="7">GMIC_22A_SCDPT4!$AA$404</definedName>
    <definedName name="SCDPT4_591BEGINNG_26" localSheetId="7">GMIC_22A_SCDPT4!$AB$404</definedName>
    <definedName name="SCDPT4_591BEGINNG_27" localSheetId="7">GMIC_22A_SCDPT4!$AC$404</definedName>
    <definedName name="SCDPT4_591BEGINNG_3" localSheetId="7">GMIC_22A_SCDPT4!$E$404</definedName>
    <definedName name="SCDPT4_591BEGINNG_4" localSheetId="7">GMIC_22A_SCDPT4!$F$404</definedName>
    <definedName name="SCDPT4_591BEGINNG_5" localSheetId="7">GMIC_22A_SCDPT4!$G$404</definedName>
    <definedName name="SCDPT4_591BEGINNG_6" localSheetId="7">GMIC_22A_SCDPT4!$H$404</definedName>
    <definedName name="SCDPT4_591BEGINNG_7" localSheetId="7">GMIC_22A_SCDPT4!$I$404</definedName>
    <definedName name="SCDPT4_591BEGINNG_8" localSheetId="7">GMIC_22A_SCDPT4!$J$404</definedName>
    <definedName name="SCDPT4_591BEGINNG_9" localSheetId="7">GMIC_22A_SCDPT4!$K$404</definedName>
    <definedName name="SCDPT4_591ENDINGG_10" localSheetId="7">GMIC_22A_SCDPT4!$L$406</definedName>
    <definedName name="SCDPT4_591ENDINGG_11" localSheetId="7">GMIC_22A_SCDPT4!$M$406</definedName>
    <definedName name="SCDPT4_591ENDINGG_12" localSheetId="7">GMIC_22A_SCDPT4!$N$406</definedName>
    <definedName name="SCDPT4_591ENDINGG_13" localSheetId="7">GMIC_22A_SCDPT4!$O$406</definedName>
    <definedName name="SCDPT4_591ENDINGG_14" localSheetId="7">GMIC_22A_SCDPT4!$P$406</definedName>
    <definedName name="SCDPT4_591ENDINGG_15" localSheetId="7">GMIC_22A_SCDPT4!$Q$406</definedName>
    <definedName name="SCDPT4_591ENDINGG_16" localSheetId="7">GMIC_22A_SCDPT4!$R$406</definedName>
    <definedName name="SCDPT4_591ENDINGG_17" localSheetId="7">GMIC_22A_SCDPT4!$S$406</definedName>
    <definedName name="SCDPT4_591ENDINGG_18" localSheetId="7">GMIC_22A_SCDPT4!$T$406</definedName>
    <definedName name="SCDPT4_591ENDINGG_19" localSheetId="7">GMIC_22A_SCDPT4!$U$406</definedName>
    <definedName name="SCDPT4_591ENDINGG_2" localSheetId="7">GMIC_22A_SCDPT4!$D$406</definedName>
    <definedName name="SCDPT4_591ENDINGG_20" localSheetId="7">GMIC_22A_SCDPT4!$V$406</definedName>
    <definedName name="SCDPT4_591ENDINGG_21" localSheetId="7">GMIC_22A_SCDPT4!$W$406</definedName>
    <definedName name="SCDPT4_591ENDINGG_22" localSheetId="7">GMIC_22A_SCDPT4!$X$406</definedName>
    <definedName name="SCDPT4_591ENDINGG_23" localSheetId="7">GMIC_22A_SCDPT4!$Y$406</definedName>
    <definedName name="SCDPT4_591ENDINGG_24" localSheetId="7">GMIC_22A_SCDPT4!$Z$406</definedName>
    <definedName name="SCDPT4_591ENDINGG_25" localSheetId="7">GMIC_22A_SCDPT4!$AA$406</definedName>
    <definedName name="SCDPT4_591ENDINGG_26" localSheetId="7">GMIC_22A_SCDPT4!$AB$406</definedName>
    <definedName name="SCDPT4_591ENDINGG_27" localSheetId="7">GMIC_22A_SCDPT4!$AC$406</definedName>
    <definedName name="SCDPT4_591ENDINGG_3" localSheetId="7">GMIC_22A_SCDPT4!$E$406</definedName>
    <definedName name="SCDPT4_591ENDINGG_4" localSheetId="7">GMIC_22A_SCDPT4!$F$406</definedName>
    <definedName name="SCDPT4_591ENDINGG_5" localSheetId="7">GMIC_22A_SCDPT4!$G$406</definedName>
    <definedName name="SCDPT4_591ENDINGG_6" localSheetId="7">GMIC_22A_SCDPT4!$H$406</definedName>
    <definedName name="SCDPT4_591ENDINGG_7" localSheetId="7">GMIC_22A_SCDPT4!$I$406</definedName>
    <definedName name="SCDPT4_591ENDINGG_8" localSheetId="7">GMIC_22A_SCDPT4!$J$406</definedName>
    <definedName name="SCDPT4_591ENDINGG_9" localSheetId="7">GMIC_22A_SCDPT4!$K$406</definedName>
    <definedName name="SCDPT4_5920000000_Range" localSheetId="7">GMIC_22A_SCDPT4!$B$408:$AC$410</definedName>
    <definedName name="SCDPT4_5929999999_10" localSheetId="7">GMIC_22A_SCDPT4!$L$411</definedName>
    <definedName name="SCDPT4_5929999999_11" localSheetId="7">GMIC_22A_SCDPT4!$M$411</definedName>
    <definedName name="SCDPT4_5929999999_12" localSheetId="7">GMIC_22A_SCDPT4!$N$411</definedName>
    <definedName name="SCDPT4_5929999999_13" localSheetId="7">GMIC_22A_SCDPT4!$O$411</definedName>
    <definedName name="SCDPT4_5929999999_14" localSheetId="7">GMIC_22A_SCDPT4!$P$411</definedName>
    <definedName name="SCDPT4_5929999999_15" localSheetId="7">GMIC_22A_SCDPT4!$Q$411</definedName>
    <definedName name="SCDPT4_5929999999_16" localSheetId="7">GMIC_22A_SCDPT4!$R$411</definedName>
    <definedName name="SCDPT4_5929999999_17" localSheetId="7">GMIC_22A_SCDPT4!$S$411</definedName>
    <definedName name="SCDPT4_5929999999_18" localSheetId="7">GMIC_22A_SCDPT4!$T$411</definedName>
    <definedName name="SCDPT4_5929999999_19" localSheetId="7">GMIC_22A_SCDPT4!$U$411</definedName>
    <definedName name="SCDPT4_5929999999_20" localSheetId="7">GMIC_22A_SCDPT4!$V$411</definedName>
    <definedName name="SCDPT4_5929999999_7" localSheetId="7">GMIC_22A_SCDPT4!$I$411</definedName>
    <definedName name="SCDPT4_5929999999_9" localSheetId="7">GMIC_22A_SCDPT4!$K$411</definedName>
    <definedName name="SCDPT4_592BEGINNG_1" localSheetId="7">GMIC_22A_SCDPT4!$C$408</definedName>
    <definedName name="SCDPT4_592BEGINNG_10" localSheetId="7">GMIC_22A_SCDPT4!$L$408</definedName>
    <definedName name="SCDPT4_592BEGINNG_11" localSheetId="7">GMIC_22A_SCDPT4!$M$408</definedName>
    <definedName name="SCDPT4_592BEGINNG_12" localSheetId="7">GMIC_22A_SCDPT4!$N$408</definedName>
    <definedName name="SCDPT4_592BEGINNG_13" localSheetId="7">GMIC_22A_SCDPT4!$O$408</definedName>
    <definedName name="SCDPT4_592BEGINNG_14" localSheetId="7">GMIC_22A_SCDPT4!$P$408</definedName>
    <definedName name="SCDPT4_592BEGINNG_15" localSheetId="7">GMIC_22A_SCDPT4!$Q$408</definedName>
    <definedName name="SCDPT4_592BEGINNG_16" localSheetId="7">GMIC_22A_SCDPT4!$R$408</definedName>
    <definedName name="SCDPT4_592BEGINNG_17" localSheetId="7">GMIC_22A_SCDPT4!$S$408</definedName>
    <definedName name="SCDPT4_592BEGINNG_18" localSheetId="7">GMIC_22A_SCDPT4!$T$408</definedName>
    <definedName name="SCDPT4_592BEGINNG_19" localSheetId="7">GMIC_22A_SCDPT4!$U$408</definedName>
    <definedName name="SCDPT4_592BEGINNG_2" localSheetId="7">GMIC_22A_SCDPT4!$D$408</definedName>
    <definedName name="SCDPT4_592BEGINNG_20" localSheetId="7">GMIC_22A_SCDPT4!$V$408</definedName>
    <definedName name="SCDPT4_592BEGINNG_21" localSheetId="7">GMIC_22A_SCDPT4!$W$408</definedName>
    <definedName name="SCDPT4_592BEGINNG_22" localSheetId="7">GMIC_22A_SCDPT4!$X$408</definedName>
    <definedName name="SCDPT4_592BEGINNG_23" localSheetId="7">GMIC_22A_SCDPT4!$Y$408</definedName>
    <definedName name="SCDPT4_592BEGINNG_24" localSheetId="7">GMIC_22A_SCDPT4!$Z$408</definedName>
    <definedName name="SCDPT4_592BEGINNG_25" localSheetId="7">GMIC_22A_SCDPT4!$AA$408</definedName>
    <definedName name="SCDPT4_592BEGINNG_26" localSheetId="7">GMIC_22A_SCDPT4!$AB$408</definedName>
    <definedName name="SCDPT4_592BEGINNG_27" localSheetId="7">GMIC_22A_SCDPT4!$AC$408</definedName>
    <definedName name="SCDPT4_592BEGINNG_3" localSheetId="7">GMIC_22A_SCDPT4!$E$408</definedName>
    <definedName name="SCDPT4_592BEGINNG_4" localSheetId="7">GMIC_22A_SCDPT4!$F$408</definedName>
    <definedName name="SCDPT4_592BEGINNG_5" localSheetId="7">GMIC_22A_SCDPT4!$G$408</definedName>
    <definedName name="SCDPT4_592BEGINNG_6" localSheetId="7">GMIC_22A_SCDPT4!$H$408</definedName>
    <definedName name="SCDPT4_592BEGINNG_7" localSheetId="7">GMIC_22A_SCDPT4!$I$408</definedName>
    <definedName name="SCDPT4_592BEGINNG_8" localSheetId="7">GMIC_22A_SCDPT4!$J$408</definedName>
    <definedName name="SCDPT4_592BEGINNG_9" localSheetId="7">GMIC_22A_SCDPT4!$K$408</definedName>
    <definedName name="SCDPT4_592ENDINGG_10" localSheetId="7">GMIC_22A_SCDPT4!$L$410</definedName>
    <definedName name="SCDPT4_592ENDINGG_11" localSheetId="7">GMIC_22A_SCDPT4!$M$410</definedName>
    <definedName name="SCDPT4_592ENDINGG_12" localSheetId="7">GMIC_22A_SCDPT4!$N$410</definedName>
    <definedName name="SCDPT4_592ENDINGG_13" localSheetId="7">GMIC_22A_SCDPT4!$O$410</definedName>
    <definedName name="SCDPT4_592ENDINGG_14" localSheetId="7">GMIC_22A_SCDPT4!$P$410</definedName>
    <definedName name="SCDPT4_592ENDINGG_15" localSheetId="7">GMIC_22A_SCDPT4!$Q$410</definedName>
    <definedName name="SCDPT4_592ENDINGG_16" localSheetId="7">GMIC_22A_SCDPT4!$R$410</definedName>
    <definedName name="SCDPT4_592ENDINGG_17" localSheetId="7">GMIC_22A_SCDPT4!$S$410</definedName>
    <definedName name="SCDPT4_592ENDINGG_18" localSheetId="7">GMIC_22A_SCDPT4!$T$410</definedName>
    <definedName name="SCDPT4_592ENDINGG_19" localSheetId="7">GMIC_22A_SCDPT4!$U$410</definedName>
    <definedName name="SCDPT4_592ENDINGG_2" localSheetId="7">GMIC_22A_SCDPT4!$D$410</definedName>
    <definedName name="SCDPT4_592ENDINGG_20" localSheetId="7">GMIC_22A_SCDPT4!$V$410</definedName>
    <definedName name="SCDPT4_592ENDINGG_21" localSheetId="7">GMIC_22A_SCDPT4!$W$410</definedName>
    <definedName name="SCDPT4_592ENDINGG_22" localSheetId="7">GMIC_22A_SCDPT4!$X$410</definedName>
    <definedName name="SCDPT4_592ENDINGG_23" localSheetId="7">GMIC_22A_SCDPT4!$Y$410</definedName>
    <definedName name="SCDPT4_592ENDINGG_24" localSheetId="7">GMIC_22A_SCDPT4!$Z$410</definedName>
    <definedName name="SCDPT4_592ENDINGG_25" localSheetId="7">GMIC_22A_SCDPT4!$AA$410</definedName>
    <definedName name="SCDPT4_592ENDINGG_26" localSheetId="7">GMIC_22A_SCDPT4!$AB$410</definedName>
    <definedName name="SCDPT4_592ENDINGG_27" localSheetId="7">GMIC_22A_SCDPT4!$AC$410</definedName>
    <definedName name="SCDPT4_592ENDINGG_3" localSheetId="7">GMIC_22A_SCDPT4!$E$410</definedName>
    <definedName name="SCDPT4_592ENDINGG_4" localSheetId="7">GMIC_22A_SCDPT4!$F$410</definedName>
    <definedName name="SCDPT4_592ENDINGG_5" localSheetId="7">GMIC_22A_SCDPT4!$G$410</definedName>
    <definedName name="SCDPT4_592ENDINGG_6" localSheetId="7">GMIC_22A_SCDPT4!$H$410</definedName>
    <definedName name="SCDPT4_592ENDINGG_7" localSheetId="7">GMIC_22A_SCDPT4!$I$410</definedName>
    <definedName name="SCDPT4_592ENDINGG_8" localSheetId="7">GMIC_22A_SCDPT4!$J$410</definedName>
    <definedName name="SCDPT4_592ENDINGG_9" localSheetId="7">GMIC_22A_SCDPT4!$K$410</definedName>
    <definedName name="SCDPT4_5989999997_10" localSheetId="7">GMIC_22A_SCDPT4!$L$412</definedName>
    <definedName name="SCDPT4_5989999997_11" localSheetId="7">GMIC_22A_SCDPT4!$M$412</definedName>
    <definedName name="SCDPT4_5989999997_12" localSheetId="7">GMIC_22A_SCDPT4!$N$412</definedName>
    <definedName name="SCDPT4_5989999997_13" localSheetId="7">GMIC_22A_SCDPT4!$O$412</definedName>
    <definedName name="SCDPT4_5989999997_14" localSheetId="7">GMIC_22A_SCDPT4!$P$412</definedName>
    <definedName name="SCDPT4_5989999997_15" localSheetId="7">GMIC_22A_SCDPT4!$Q$412</definedName>
    <definedName name="SCDPT4_5989999997_16" localSheetId="7">GMIC_22A_SCDPT4!$R$412</definedName>
    <definedName name="SCDPT4_5989999997_17" localSheetId="7">GMIC_22A_SCDPT4!$S$412</definedName>
    <definedName name="SCDPT4_5989999997_18" localSheetId="7">GMIC_22A_SCDPT4!$T$412</definedName>
    <definedName name="SCDPT4_5989999997_19" localSheetId="7">GMIC_22A_SCDPT4!$U$412</definedName>
    <definedName name="SCDPT4_5989999997_20" localSheetId="7">GMIC_22A_SCDPT4!$V$412</definedName>
    <definedName name="SCDPT4_5989999997_7" localSheetId="7">GMIC_22A_SCDPT4!$I$412</definedName>
    <definedName name="SCDPT4_5989999997_9" localSheetId="7">GMIC_22A_SCDPT4!$K$412</definedName>
    <definedName name="SCDPT4_5989999998_10" localSheetId="7">GMIC_22A_SCDPT4!$L$413</definedName>
    <definedName name="SCDPT4_5989999998_11" localSheetId="7">GMIC_22A_SCDPT4!$M$413</definedName>
    <definedName name="SCDPT4_5989999998_12" localSheetId="7">GMIC_22A_SCDPT4!$N$413</definedName>
    <definedName name="SCDPT4_5989999998_13" localSheetId="7">GMIC_22A_SCDPT4!$O$413</definedName>
    <definedName name="SCDPT4_5989999998_14" localSheetId="7">GMIC_22A_SCDPT4!$P$413</definedName>
    <definedName name="SCDPT4_5989999998_15" localSheetId="7">GMIC_22A_SCDPT4!$Q$413</definedName>
    <definedName name="SCDPT4_5989999998_16" localSheetId="7">GMIC_22A_SCDPT4!$R$413</definedName>
    <definedName name="SCDPT4_5989999998_17" localSheetId="7">GMIC_22A_SCDPT4!$S$413</definedName>
    <definedName name="SCDPT4_5989999998_18" localSheetId="7">GMIC_22A_SCDPT4!$T$413</definedName>
    <definedName name="SCDPT4_5989999998_19" localSheetId="7">GMIC_22A_SCDPT4!$U$413</definedName>
    <definedName name="SCDPT4_5989999998_20" localSheetId="7">GMIC_22A_SCDPT4!$V$413</definedName>
    <definedName name="SCDPT4_5989999998_7" localSheetId="7">GMIC_22A_SCDPT4!$I$413</definedName>
    <definedName name="SCDPT4_5989999998_9" localSheetId="7">GMIC_22A_SCDPT4!$K$413</definedName>
    <definedName name="SCDPT4_5989999999_10" localSheetId="7">GMIC_22A_SCDPT4!$L$414</definedName>
    <definedName name="SCDPT4_5989999999_11" localSheetId="7">GMIC_22A_SCDPT4!$M$414</definedName>
    <definedName name="SCDPT4_5989999999_12" localSheetId="7">GMIC_22A_SCDPT4!$N$414</definedName>
    <definedName name="SCDPT4_5989999999_13" localSheetId="7">GMIC_22A_SCDPT4!$O$414</definedName>
    <definedName name="SCDPT4_5989999999_14" localSheetId="7">GMIC_22A_SCDPT4!$P$414</definedName>
    <definedName name="SCDPT4_5989999999_15" localSheetId="7">GMIC_22A_SCDPT4!$Q$414</definedName>
    <definedName name="SCDPT4_5989999999_16" localSheetId="7">GMIC_22A_SCDPT4!$R$414</definedName>
    <definedName name="SCDPT4_5989999999_17" localSheetId="7">GMIC_22A_SCDPT4!$S$414</definedName>
    <definedName name="SCDPT4_5989999999_18" localSheetId="7">GMIC_22A_SCDPT4!$T$414</definedName>
    <definedName name="SCDPT4_5989999999_19" localSheetId="7">GMIC_22A_SCDPT4!$U$414</definedName>
    <definedName name="SCDPT4_5989999999_20" localSheetId="7">GMIC_22A_SCDPT4!$V$414</definedName>
    <definedName name="SCDPT4_5989999999_7" localSheetId="7">GMIC_22A_SCDPT4!$I$414</definedName>
    <definedName name="SCDPT4_5989999999_9" localSheetId="7">GMIC_22A_SCDPT4!$K$414</definedName>
    <definedName name="SCDPT4_5999999999_10" localSheetId="7">GMIC_22A_SCDPT4!$L$415</definedName>
    <definedName name="SCDPT4_5999999999_11" localSheetId="7">GMIC_22A_SCDPT4!$M$415</definedName>
    <definedName name="SCDPT4_5999999999_12" localSheetId="7">GMIC_22A_SCDPT4!$N$415</definedName>
    <definedName name="SCDPT4_5999999999_13" localSheetId="7">GMIC_22A_SCDPT4!$O$415</definedName>
    <definedName name="SCDPT4_5999999999_14" localSheetId="7">GMIC_22A_SCDPT4!$P$415</definedName>
    <definedName name="SCDPT4_5999999999_15" localSheetId="7">GMIC_22A_SCDPT4!$Q$415</definedName>
    <definedName name="SCDPT4_5999999999_16" localSheetId="7">GMIC_22A_SCDPT4!$R$415</definedName>
    <definedName name="SCDPT4_5999999999_17" localSheetId="7">GMIC_22A_SCDPT4!$S$415</definedName>
    <definedName name="SCDPT4_5999999999_18" localSheetId="7">GMIC_22A_SCDPT4!$T$415</definedName>
    <definedName name="SCDPT4_5999999999_19" localSheetId="7">GMIC_22A_SCDPT4!$U$415</definedName>
    <definedName name="SCDPT4_5999999999_20" localSheetId="7">GMIC_22A_SCDPT4!$V$415</definedName>
    <definedName name="SCDPT4_5999999999_7" localSheetId="7">GMIC_22A_SCDPT4!$I$415</definedName>
    <definedName name="SCDPT4_5999999999_9" localSheetId="7">GMIC_22A_SCDPT4!$K$415</definedName>
    <definedName name="SCDPT4_6009999999_10" localSheetId="7">GMIC_22A_SCDPT4!$L$416</definedName>
    <definedName name="SCDPT4_6009999999_11" localSheetId="7">GMIC_22A_SCDPT4!$M$416</definedName>
    <definedName name="SCDPT4_6009999999_12" localSheetId="7">GMIC_22A_SCDPT4!$N$416</definedName>
    <definedName name="SCDPT4_6009999999_13" localSheetId="7">GMIC_22A_SCDPT4!$O$416</definedName>
    <definedName name="SCDPT4_6009999999_14" localSheetId="7">GMIC_22A_SCDPT4!$P$416</definedName>
    <definedName name="SCDPT4_6009999999_15" localSheetId="7">GMIC_22A_SCDPT4!$Q$416</definedName>
    <definedName name="SCDPT4_6009999999_16" localSheetId="7">GMIC_22A_SCDPT4!$R$416</definedName>
    <definedName name="SCDPT4_6009999999_17" localSheetId="7">GMIC_22A_SCDPT4!$S$416</definedName>
    <definedName name="SCDPT4_6009999999_18" localSheetId="7">GMIC_22A_SCDPT4!$T$416</definedName>
    <definedName name="SCDPT4_6009999999_19" localSheetId="7">GMIC_22A_SCDPT4!$U$416</definedName>
    <definedName name="SCDPT4_6009999999_20" localSheetId="7">GMIC_22A_SCDPT4!$V$416</definedName>
    <definedName name="SCDPT4_6009999999_7" localSheetId="7">GMIC_22A_SCDPT4!$I$416</definedName>
    <definedName name="SCDPT4_6009999999_9" localSheetId="7">GMIC_22A_SCDPT4!$K$416</definedName>
    <definedName name="SCDPT5_0100000000_Range" localSheetId="8">GMIC_22A_SCDPT5!$B$7:$AC$9</definedName>
    <definedName name="SCDPT5_0109999999_10" localSheetId="8">GMIC_22A_SCDPT5!$L$10</definedName>
    <definedName name="SCDPT5_0109999999_11" localSheetId="8">GMIC_22A_SCDPT5!$M$10</definedName>
    <definedName name="SCDPT5_0109999999_12" localSheetId="8">GMIC_22A_SCDPT5!$N$10</definedName>
    <definedName name="SCDPT5_0109999999_13" localSheetId="8">GMIC_22A_SCDPT5!$O$10</definedName>
    <definedName name="SCDPT5_0109999999_14" localSheetId="8">GMIC_22A_SCDPT5!$P$10</definedName>
    <definedName name="SCDPT5_0109999999_15" localSheetId="8">GMIC_22A_SCDPT5!$Q$10</definedName>
    <definedName name="SCDPT5_0109999999_16" localSheetId="8">GMIC_22A_SCDPT5!$R$10</definedName>
    <definedName name="SCDPT5_0109999999_17" localSheetId="8">GMIC_22A_SCDPT5!$S$10</definedName>
    <definedName name="SCDPT5_0109999999_18" localSheetId="8">GMIC_22A_SCDPT5!$T$10</definedName>
    <definedName name="SCDPT5_0109999999_19" localSheetId="8">GMIC_22A_SCDPT5!$U$10</definedName>
    <definedName name="SCDPT5_0109999999_20" localSheetId="8">GMIC_22A_SCDPT5!$V$10</definedName>
    <definedName name="SCDPT5_0109999999_21" localSheetId="8">GMIC_22A_SCDPT5!$W$10</definedName>
    <definedName name="SCDPT5_0109999999_8" localSheetId="8">GMIC_22A_SCDPT5!$J$10</definedName>
    <definedName name="SCDPT5_0109999999_9" localSheetId="8">GMIC_22A_SCDPT5!$K$10</definedName>
    <definedName name="SCDPT5_010BEGINNG_1" localSheetId="8">GMIC_22A_SCDPT5!$C$7</definedName>
    <definedName name="SCDPT5_010BEGINNG_10" localSheetId="8">GMIC_22A_SCDPT5!$L$7</definedName>
    <definedName name="SCDPT5_010BEGINNG_11" localSheetId="8">GMIC_22A_SCDPT5!$M$7</definedName>
    <definedName name="SCDPT5_010BEGINNG_12" localSheetId="8">GMIC_22A_SCDPT5!$N$7</definedName>
    <definedName name="SCDPT5_010BEGINNG_13" localSheetId="8">GMIC_22A_SCDPT5!$O$7</definedName>
    <definedName name="SCDPT5_010BEGINNG_14" localSheetId="8">GMIC_22A_SCDPT5!$P$7</definedName>
    <definedName name="SCDPT5_010BEGINNG_15" localSheetId="8">GMIC_22A_SCDPT5!$Q$7</definedName>
    <definedName name="SCDPT5_010BEGINNG_16" localSheetId="8">GMIC_22A_SCDPT5!$R$7</definedName>
    <definedName name="SCDPT5_010BEGINNG_17" localSheetId="8">GMIC_22A_SCDPT5!$S$7</definedName>
    <definedName name="SCDPT5_010BEGINNG_18" localSheetId="8">GMIC_22A_SCDPT5!$T$7</definedName>
    <definedName name="SCDPT5_010BEGINNG_19" localSheetId="8">GMIC_22A_SCDPT5!$U$7</definedName>
    <definedName name="SCDPT5_010BEGINNG_2" localSheetId="8">GMIC_22A_SCDPT5!$D$7</definedName>
    <definedName name="SCDPT5_010BEGINNG_20" localSheetId="8">GMIC_22A_SCDPT5!$V$7</definedName>
    <definedName name="SCDPT5_010BEGINNG_21" localSheetId="8">GMIC_22A_SCDPT5!$W$7</definedName>
    <definedName name="SCDPT5_010BEGINNG_22" localSheetId="8">GMIC_22A_SCDPT5!$X$7</definedName>
    <definedName name="SCDPT5_010BEGINNG_23" localSheetId="8">GMIC_22A_SCDPT5!$Y$7</definedName>
    <definedName name="SCDPT5_010BEGINNG_24" localSheetId="8">GMIC_22A_SCDPT5!$Z$7</definedName>
    <definedName name="SCDPT5_010BEGINNG_25" localSheetId="8">GMIC_22A_SCDPT5!$AA$7</definedName>
    <definedName name="SCDPT5_010BEGINNG_26" localSheetId="8">GMIC_22A_SCDPT5!$AB$7</definedName>
    <definedName name="SCDPT5_010BEGINNG_27" localSheetId="8">GMIC_22A_SCDPT5!$AC$7</definedName>
    <definedName name="SCDPT5_010BEGINNG_3" localSheetId="8">GMIC_22A_SCDPT5!$E$7</definedName>
    <definedName name="SCDPT5_010BEGINNG_4" localSheetId="8">GMIC_22A_SCDPT5!$F$7</definedName>
    <definedName name="SCDPT5_010BEGINNG_5" localSheetId="8">GMIC_22A_SCDPT5!$G$7</definedName>
    <definedName name="SCDPT5_010BEGINNG_6" localSheetId="8">GMIC_22A_SCDPT5!$H$7</definedName>
    <definedName name="SCDPT5_010BEGINNG_7" localSheetId="8">GMIC_22A_SCDPT5!$I$7</definedName>
    <definedName name="SCDPT5_010BEGINNG_8" localSheetId="8">GMIC_22A_SCDPT5!$J$7</definedName>
    <definedName name="SCDPT5_010BEGINNG_9" localSheetId="8">GMIC_22A_SCDPT5!$K$7</definedName>
    <definedName name="SCDPT5_010ENDINGG_10" localSheetId="8">GMIC_22A_SCDPT5!$L$9</definedName>
    <definedName name="SCDPT5_010ENDINGG_11" localSheetId="8">GMIC_22A_SCDPT5!$M$9</definedName>
    <definedName name="SCDPT5_010ENDINGG_12" localSheetId="8">GMIC_22A_SCDPT5!$N$9</definedName>
    <definedName name="SCDPT5_010ENDINGG_13" localSheetId="8">GMIC_22A_SCDPT5!$O$9</definedName>
    <definedName name="SCDPT5_010ENDINGG_14" localSheetId="8">GMIC_22A_SCDPT5!$P$9</definedName>
    <definedName name="SCDPT5_010ENDINGG_15" localSheetId="8">GMIC_22A_SCDPT5!$Q$9</definedName>
    <definedName name="SCDPT5_010ENDINGG_16" localSheetId="8">GMIC_22A_SCDPT5!$R$9</definedName>
    <definedName name="SCDPT5_010ENDINGG_17" localSheetId="8">GMIC_22A_SCDPT5!$S$9</definedName>
    <definedName name="SCDPT5_010ENDINGG_18" localSheetId="8">GMIC_22A_SCDPT5!$T$9</definedName>
    <definedName name="SCDPT5_010ENDINGG_19" localSheetId="8">GMIC_22A_SCDPT5!$U$9</definedName>
    <definedName name="SCDPT5_010ENDINGG_2" localSheetId="8">GMIC_22A_SCDPT5!$D$9</definedName>
    <definedName name="SCDPT5_010ENDINGG_20" localSheetId="8">GMIC_22A_SCDPT5!$V$9</definedName>
    <definedName name="SCDPT5_010ENDINGG_21" localSheetId="8">GMIC_22A_SCDPT5!$W$9</definedName>
    <definedName name="SCDPT5_010ENDINGG_22" localSheetId="8">GMIC_22A_SCDPT5!$X$9</definedName>
    <definedName name="SCDPT5_010ENDINGG_23" localSheetId="8">GMIC_22A_SCDPT5!$Y$9</definedName>
    <definedName name="SCDPT5_010ENDINGG_24" localSheetId="8">GMIC_22A_SCDPT5!$Z$9</definedName>
    <definedName name="SCDPT5_010ENDINGG_25" localSheetId="8">GMIC_22A_SCDPT5!$AA$9</definedName>
    <definedName name="SCDPT5_010ENDINGG_26" localSheetId="8">GMIC_22A_SCDPT5!$AB$9</definedName>
    <definedName name="SCDPT5_010ENDINGG_27" localSheetId="8">GMIC_22A_SCDPT5!$AC$9</definedName>
    <definedName name="SCDPT5_010ENDINGG_3" localSheetId="8">GMIC_22A_SCDPT5!$E$9</definedName>
    <definedName name="SCDPT5_010ENDINGG_4" localSheetId="8">GMIC_22A_SCDPT5!$F$9</definedName>
    <definedName name="SCDPT5_010ENDINGG_5" localSheetId="8">GMIC_22A_SCDPT5!$G$9</definedName>
    <definedName name="SCDPT5_010ENDINGG_6" localSheetId="8">GMIC_22A_SCDPT5!$H$9</definedName>
    <definedName name="SCDPT5_010ENDINGG_7" localSheetId="8">GMIC_22A_SCDPT5!$I$9</definedName>
    <definedName name="SCDPT5_010ENDINGG_8" localSheetId="8">GMIC_22A_SCDPT5!$J$9</definedName>
    <definedName name="SCDPT5_010ENDINGG_9" localSheetId="8">GMIC_22A_SCDPT5!$K$9</definedName>
    <definedName name="SCDPT5_0300000000_Range" localSheetId="8">GMIC_22A_SCDPT5!$B$11:$AC$13</definedName>
    <definedName name="SCDPT5_0309999999_10" localSheetId="8">GMIC_22A_SCDPT5!$L$14</definedName>
    <definedName name="SCDPT5_0309999999_11" localSheetId="8">GMIC_22A_SCDPT5!$M$14</definedName>
    <definedName name="SCDPT5_0309999999_12" localSheetId="8">GMIC_22A_SCDPT5!$N$14</definedName>
    <definedName name="SCDPT5_0309999999_13" localSheetId="8">GMIC_22A_SCDPT5!$O$14</definedName>
    <definedName name="SCDPT5_0309999999_14" localSheetId="8">GMIC_22A_SCDPT5!$P$14</definedName>
    <definedName name="SCDPT5_0309999999_15" localSheetId="8">GMIC_22A_SCDPT5!$Q$14</definedName>
    <definedName name="SCDPT5_0309999999_16" localSheetId="8">GMIC_22A_SCDPT5!$R$14</definedName>
    <definedName name="SCDPT5_0309999999_17" localSheetId="8">GMIC_22A_SCDPT5!$S$14</definedName>
    <definedName name="SCDPT5_0309999999_18" localSheetId="8">GMIC_22A_SCDPT5!$T$14</definedName>
    <definedName name="SCDPT5_0309999999_19" localSheetId="8">GMIC_22A_SCDPT5!$U$14</definedName>
    <definedName name="SCDPT5_0309999999_20" localSheetId="8">GMIC_22A_SCDPT5!$V$14</definedName>
    <definedName name="SCDPT5_0309999999_21" localSheetId="8">GMIC_22A_SCDPT5!$W$14</definedName>
    <definedName name="SCDPT5_0309999999_8" localSheetId="8">GMIC_22A_SCDPT5!$J$14</definedName>
    <definedName name="SCDPT5_0309999999_9" localSheetId="8">GMIC_22A_SCDPT5!$K$14</definedName>
    <definedName name="SCDPT5_030BEGINNG_1" localSheetId="8">GMIC_22A_SCDPT5!$C$11</definedName>
    <definedName name="SCDPT5_030BEGINNG_10" localSheetId="8">GMIC_22A_SCDPT5!$L$11</definedName>
    <definedName name="SCDPT5_030BEGINNG_11" localSheetId="8">GMIC_22A_SCDPT5!$M$11</definedName>
    <definedName name="SCDPT5_030BEGINNG_12" localSheetId="8">GMIC_22A_SCDPT5!$N$11</definedName>
    <definedName name="SCDPT5_030BEGINNG_13" localSheetId="8">GMIC_22A_SCDPT5!$O$11</definedName>
    <definedName name="SCDPT5_030BEGINNG_14" localSheetId="8">GMIC_22A_SCDPT5!$P$11</definedName>
    <definedName name="SCDPT5_030BEGINNG_15" localSheetId="8">GMIC_22A_SCDPT5!$Q$11</definedName>
    <definedName name="SCDPT5_030BEGINNG_16" localSheetId="8">GMIC_22A_SCDPT5!$R$11</definedName>
    <definedName name="SCDPT5_030BEGINNG_17" localSheetId="8">GMIC_22A_SCDPT5!$S$11</definedName>
    <definedName name="SCDPT5_030BEGINNG_18" localSheetId="8">GMIC_22A_SCDPT5!$T$11</definedName>
    <definedName name="SCDPT5_030BEGINNG_19" localSheetId="8">GMIC_22A_SCDPT5!$U$11</definedName>
    <definedName name="SCDPT5_030BEGINNG_2" localSheetId="8">GMIC_22A_SCDPT5!$D$11</definedName>
    <definedName name="SCDPT5_030BEGINNG_20" localSheetId="8">GMIC_22A_SCDPT5!$V$11</definedName>
    <definedName name="SCDPT5_030BEGINNG_21" localSheetId="8">GMIC_22A_SCDPT5!$W$11</definedName>
    <definedName name="SCDPT5_030BEGINNG_22" localSheetId="8">GMIC_22A_SCDPT5!$X$11</definedName>
    <definedName name="SCDPT5_030BEGINNG_23" localSheetId="8">GMIC_22A_SCDPT5!$Y$11</definedName>
    <definedName name="SCDPT5_030BEGINNG_24" localSheetId="8">GMIC_22A_SCDPT5!$Z$11</definedName>
    <definedName name="SCDPT5_030BEGINNG_25" localSheetId="8">GMIC_22A_SCDPT5!$AA$11</definedName>
    <definedName name="SCDPT5_030BEGINNG_26" localSheetId="8">GMIC_22A_SCDPT5!$AB$11</definedName>
    <definedName name="SCDPT5_030BEGINNG_27" localSheetId="8">GMIC_22A_SCDPT5!$AC$11</definedName>
    <definedName name="SCDPT5_030BEGINNG_3" localSheetId="8">GMIC_22A_SCDPT5!$E$11</definedName>
    <definedName name="SCDPT5_030BEGINNG_4" localSheetId="8">GMIC_22A_SCDPT5!$F$11</definedName>
    <definedName name="SCDPT5_030BEGINNG_5" localSheetId="8">GMIC_22A_SCDPT5!$G$11</definedName>
    <definedName name="SCDPT5_030BEGINNG_6" localSheetId="8">GMIC_22A_SCDPT5!$H$11</definedName>
    <definedName name="SCDPT5_030BEGINNG_7" localSheetId="8">GMIC_22A_SCDPT5!$I$11</definedName>
    <definedName name="SCDPT5_030BEGINNG_8" localSheetId="8">GMIC_22A_SCDPT5!$J$11</definedName>
    <definedName name="SCDPT5_030BEGINNG_9" localSheetId="8">GMIC_22A_SCDPT5!$K$11</definedName>
    <definedName name="SCDPT5_030ENDINGG_10" localSheetId="8">GMIC_22A_SCDPT5!$L$13</definedName>
    <definedName name="SCDPT5_030ENDINGG_11" localSheetId="8">GMIC_22A_SCDPT5!$M$13</definedName>
    <definedName name="SCDPT5_030ENDINGG_12" localSheetId="8">GMIC_22A_SCDPT5!$N$13</definedName>
    <definedName name="SCDPT5_030ENDINGG_13" localSheetId="8">GMIC_22A_SCDPT5!$O$13</definedName>
    <definedName name="SCDPT5_030ENDINGG_14" localSheetId="8">GMIC_22A_SCDPT5!$P$13</definedName>
    <definedName name="SCDPT5_030ENDINGG_15" localSheetId="8">GMIC_22A_SCDPT5!$Q$13</definedName>
    <definedName name="SCDPT5_030ENDINGG_16" localSheetId="8">GMIC_22A_SCDPT5!$R$13</definedName>
    <definedName name="SCDPT5_030ENDINGG_17" localSheetId="8">GMIC_22A_SCDPT5!$S$13</definedName>
    <definedName name="SCDPT5_030ENDINGG_18" localSheetId="8">GMIC_22A_SCDPT5!$T$13</definedName>
    <definedName name="SCDPT5_030ENDINGG_19" localSheetId="8">GMIC_22A_SCDPT5!$U$13</definedName>
    <definedName name="SCDPT5_030ENDINGG_2" localSheetId="8">GMIC_22A_SCDPT5!$D$13</definedName>
    <definedName name="SCDPT5_030ENDINGG_20" localSheetId="8">GMIC_22A_SCDPT5!$V$13</definedName>
    <definedName name="SCDPT5_030ENDINGG_21" localSheetId="8">GMIC_22A_SCDPT5!$W$13</definedName>
    <definedName name="SCDPT5_030ENDINGG_22" localSheetId="8">GMIC_22A_SCDPT5!$X$13</definedName>
    <definedName name="SCDPT5_030ENDINGG_23" localSheetId="8">GMIC_22A_SCDPT5!$Y$13</definedName>
    <definedName name="SCDPT5_030ENDINGG_24" localSheetId="8">GMIC_22A_SCDPT5!$Z$13</definedName>
    <definedName name="SCDPT5_030ENDINGG_25" localSheetId="8">GMIC_22A_SCDPT5!$AA$13</definedName>
    <definedName name="SCDPT5_030ENDINGG_26" localSheetId="8">GMIC_22A_SCDPT5!$AB$13</definedName>
    <definedName name="SCDPT5_030ENDINGG_27" localSheetId="8">GMIC_22A_SCDPT5!$AC$13</definedName>
    <definedName name="SCDPT5_030ENDINGG_3" localSheetId="8">GMIC_22A_SCDPT5!$E$13</definedName>
    <definedName name="SCDPT5_030ENDINGG_4" localSheetId="8">GMIC_22A_SCDPT5!$F$13</definedName>
    <definedName name="SCDPT5_030ENDINGG_5" localSheetId="8">GMIC_22A_SCDPT5!$G$13</definedName>
    <definedName name="SCDPT5_030ENDINGG_6" localSheetId="8">GMIC_22A_SCDPT5!$H$13</definedName>
    <definedName name="SCDPT5_030ENDINGG_7" localSheetId="8">GMIC_22A_SCDPT5!$I$13</definedName>
    <definedName name="SCDPT5_030ENDINGG_8" localSheetId="8">GMIC_22A_SCDPT5!$J$13</definedName>
    <definedName name="SCDPT5_030ENDINGG_9" localSheetId="8">GMIC_22A_SCDPT5!$K$13</definedName>
    <definedName name="SCDPT5_0500000000_Range" localSheetId="8">GMIC_22A_SCDPT5!$B$15:$AC$17</definedName>
    <definedName name="SCDPT5_0509999999_10" localSheetId="8">GMIC_22A_SCDPT5!$L$18</definedName>
    <definedName name="SCDPT5_0509999999_11" localSheetId="8">GMIC_22A_SCDPT5!$M$18</definedName>
    <definedName name="SCDPT5_0509999999_12" localSheetId="8">GMIC_22A_SCDPT5!$N$18</definedName>
    <definedName name="SCDPT5_0509999999_13" localSheetId="8">GMIC_22A_SCDPT5!$O$18</definedName>
    <definedName name="SCDPT5_0509999999_14" localSheetId="8">GMIC_22A_SCDPT5!$P$18</definedName>
    <definedName name="SCDPT5_0509999999_15" localSheetId="8">GMIC_22A_SCDPT5!$Q$18</definedName>
    <definedName name="SCDPT5_0509999999_16" localSheetId="8">GMIC_22A_SCDPT5!$R$18</definedName>
    <definedName name="SCDPT5_0509999999_17" localSheetId="8">GMIC_22A_SCDPT5!$S$18</definedName>
    <definedName name="SCDPT5_0509999999_18" localSheetId="8">GMIC_22A_SCDPT5!$T$18</definedName>
    <definedName name="SCDPT5_0509999999_19" localSheetId="8">GMIC_22A_SCDPT5!$U$18</definedName>
    <definedName name="SCDPT5_0509999999_20" localSheetId="8">GMIC_22A_SCDPT5!$V$18</definedName>
    <definedName name="SCDPT5_0509999999_21" localSheetId="8">GMIC_22A_SCDPT5!$W$18</definedName>
    <definedName name="SCDPT5_0509999999_8" localSheetId="8">GMIC_22A_SCDPT5!$J$18</definedName>
    <definedName name="SCDPT5_0509999999_9" localSheetId="8">GMIC_22A_SCDPT5!$K$18</definedName>
    <definedName name="SCDPT5_050BEGINNG_1" localSheetId="8">GMIC_22A_SCDPT5!$C$15</definedName>
    <definedName name="SCDPT5_050BEGINNG_10" localSheetId="8">GMIC_22A_SCDPT5!$L$15</definedName>
    <definedName name="SCDPT5_050BEGINNG_11" localSheetId="8">GMIC_22A_SCDPT5!$M$15</definedName>
    <definedName name="SCDPT5_050BEGINNG_12" localSheetId="8">GMIC_22A_SCDPT5!$N$15</definedName>
    <definedName name="SCDPT5_050BEGINNG_13" localSheetId="8">GMIC_22A_SCDPT5!$O$15</definedName>
    <definedName name="SCDPT5_050BEGINNG_14" localSheetId="8">GMIC_22A_SCDPT5!$P$15</definedName>
    <definedName name="SCDPT5_050BEGINNG_15" localSheetId="8">GMIC_22A_SCDPT5!$Q$15</definedName>
    <definedName name="SCDPT5_050BEGINNG_16" localSheetId="8">GMIC_22A_SCDPT5!$R$15</definedName>
    <definedName name="SCDPT5_050BEGINNG_17" localSheetId="8">GMIC_22A_SCDPT5!$S$15</definedName>
    <definedName name="SCDPT5_050BEGINNG_18" localSheetId="8">GMIC_22A_SCDPT5!$T$15</definedName>
    <definedName name="SCDPT5_050BEGINNG_19" localSheetId="8">GMIC_22A_SCDPT5!$U$15</definedName>
    <definedName name="SCDPT5_050BEGINNG_2" localSheetId="8">GMIC_22A_SCDPT5!$D$15</definedName>
    <definedName name="SCDPT5_050BEGINNG_20" localSheetId="8">GMIC_22A_SCDPT5!$V$15</definedName>
    <definedName name="SCDPT5_050BEGINNG_21" localSheetId="8">GMIC_22A_SCDPT5!$W$15</definedName>
    <definedName name="SCDPT5_050BEGINNG_22" localSheetId="8">GMIC_22A_SCDPT5!$X$15</definedName>
    <definedName name="SCDPT5_050BEGINNG_23" localSheetId="8">GMIC_22A_SCDPT5!$Y$15</definedName>
    <definedName name="SCDPT5_050BEGINNG_24" localSheetId="8">GMIC_22A_SCDPT5!$Z$15</definedName>
    <definedName name="SCDPT5_050BEGINNG_25" localSheetId="8">GMIC_22A_SCDPT5!$AA$15</definedName>
    <definedName name="SCDPT5_050BEGINNG_26" localSheetId="8">GMIC_22A_SCDPT5!$AB$15</definedName>
    <definedName name="SCDPT5_050BEGINNG_27" localSheetId="8">GMIC_22A_SCDPT5!$AC$15</definedName>
    <definedName name="SCDPT5_050BEGINNG_3" localSheetId="8">GMIC_22A_SCDPT5!$E$15</definedName>
    <definedName name="SCDPT5_050BEGINNG_4" localSheetId="8">GMIC_22A_SCDPT5!$F$15</definedName>
    <definedName name="SCDPT5_050BEGINNG_5" localSheetId="8">GMIC_22A_SCDPT5!$G$15</definedName>
    <definedName name="SCDPT5_050BEGINNG_6" localSheetId="8">GMIC_22A_SCDPT5!$H$15</definedName>
    <definedName name="SCDPT5_050BEGINNG_7" localSheetId="8">GMIC_22A_SCDPT5!$I$15</definedName>
    <definedName name="SCDPT5_050BEGINNG_8" localSheetId="8">GMIC_22A_SCDPT5!$J$15</definedName>
    <definedName name="SCDPT5_050BEGINNG_9" localSheetId="8">GMIC_22A_SCDPT5!$K$15</definedName>
    <definedName name="SCDPT5_050ENDINGG_10" localSheetId="8">GMIC_22A_SCDPT5!$L$17</definedName>
    <definedName name="SCDPT5_050ENDINGG_11" localSheetId="8">GMIC_22A_SCDPT5!$M$17</definedName>
    <definedName name="SCDPT5_050ENDINGG_12" localSheetId="8">GMIC_22A_SCDPT5!$N$17</definedName>
    <definedName name="SCDPT5_050ENDINGG_13" localSheetId="8">GMIC_22A_SCDPT5!$O$17</definedName>
    <definedName name="SCDPT5_050ENDINGG_14" localSheetId="8">GMIC_22A_SCDPT5!$P$17</definedName>
    <definedName name="SCDPT5_050ENDINGG_15" localSheetId="8">GMIC_22A_SCDPT5!$Q$17</definedName>
    <definedName name="SCDPT5_050ENDINGG_16" localSheetId="8">GMIC_22A_SCDPT5!$R$17</definedName>
    <definedName name="SCDPT5_050ENDINGG_17" localSheetId="8">GMIC_22A_SCDPT5!$S$17</definedName>
    <definedName name="SCDPT5_050ENDINGG_18" localSheetId="8">GMIC_22A_SCDPT5!$T$17</definedName>
    <definedName name="SCDPT5_050ENDINGG_19" localSheetId="8">GMIC_22A_SCDPT5!$U$17</definedName>
    <definedName name="SCDPT5_050ENDINGG_2" localSheetId="8">GMIC_22A_SCDPT5!$D$17</definedName>
    <definedName name="SCDPT5_050ENDINGG_20" localSheetId="8">GMIC_22A_SCDPT5!$V$17</definedName>
    <definedName name="SCDPT5_050ENDINGG_21" localSheetId="8">GMIC_22A_SCDPT5!$W$17</definedName>
    <definedName name="SCDPT5_050ENDINGG_22" localSheetId="8">GMIC_22A_SCDPT5!$X$17</definedName>
    <definedName name="SCDPT5_050ENDINGG_23" localSheetId="8">GMIC_22A_SCDPT5!$Y$17</definedName>
    <definedName name="SCDPT5_050ENDINGG_24" localSheetId="8">GMIC_22A_SCDPT5!$Z$17</definedName>
    <definedName name="SCDPT5_050ENDINGG_25" localSheetId="8">GMIC_22A_SCDPT5!$AA$17</definedName>
    <definedName name="SCDPT5_050ENDINGG_26" localSheetId="8">GMIC_22A_SCDPT5!$AB$17</definedName>
    <definedName name="SCDPT5_050ENDINGG_27" localSheetId="8">GMIC_22A_SCDPT5!$AC$17</definedName>
    <definedName name="SCDPT5_050ENDINGG_3" localSheetId="8">GMIC_22A_SCDPT5!$E$17</definedName>
    <definedName name="SCDPT5_050ENDINGG_4" localSheetId="8">GMIC_22A_SCDPT5!$F$17</definedName>
    <definedName name="SCDPT5_050ENDINGG_5" localSheetId="8">GMIC_22A_SCDPT5!$G$17</definedName>
    <definedName name="SCDPT5_050ENDINGG_6" localSheetId="8">GMIC_22A_SCDPT5!$H$17</definedName>
    <definedName name="SCDPT5_050ENDINGG_7" localSheetId="8">GMIC_22A_SCDPT5!$I$17</definedName>
    <definedName name="SCDPT5_050ENDINGG_8" localSheetId="8">GMIC_22A_SCDPT5!$J$17</definedName>
    <definedName name="SCDPT5_050ENDINGG_9" localSheetId="8">GMIC_22A_SCDPT5!$K$17</definedName>
    <definedName name="SCDPT5_0700000000_Range" localSheetId="8">GMIC_22A_SCDPT5!$B$19:$AC$21</definedName>
    <definedName name="SCDPT5_0709999999_10" localSheetId="8">GMIC_22A_SCDPT5!$L$22</definedName>
    <definedName name="SCDPT5_0709999999_11" localSheetId="8">GMIC_22A_SCDPT5!$M$22</definedName>
    <definedName name="SCDPT5_0709999999_12" localSheetId="8">GMIC_22A_SCDPT5!$N$22</definedName>
    <definedName name="SCDPT5_0709999999_13" localSheetId="8">GMIC_22A_SCDPT5!$O$22</definedName>
    <definedName name="SCDPT5_0709999999_14" localSheetId="8">GMIC_22A_SCDPT5!$P$22</definedName>
    <definedName name="SCDPT5_0709999999_15" localSheetId="8">GMIC_22A_SCDPT5!$Q$22</definedName>
    <definedName name="SCDPT5_0709999999_16" localSheetId="8">GMIC_22A_SCDPT5!$R$22</definedName>
    <definedName name="SCDPT5_0709999999_17" localSheetId="8">GMIC_22A_SCDPT5!$S$22</definedName>
    <definedName name="SCDPT5_0709999999_18" localSheetId="8">GMIC_22A_SCDPT5!$T$22</definedName>
    <definedName name="SCDPT5_0709999999_19" localSheetId="8">GMIC_22A_SCDPT5!$U$22</definedName>
    <definedName name="SCDPT5_0709999999_20" localSheetId="8">GMIC_22A_SCDPT5!$V$22</definedName>
    <definedName name="SCDPT5_0709999999_21" localSheetId="8">GMIC_22A_SCDPT5!$W$22</definedName>
    <definedName name="SCDPT5_0709999999_8" localSheetId="8">GMIC_22A_SCDPT5!$J$22</definedName>
    <definedName name="SCDPT5_0709999999_9" localSheetId="8">GMIC_22A_SCDPT5!$K$22</definedName>
    <definedName name="SCDPT5_070BEGINNG_1" localSheetId="8">GMIC_22A_SCDPT5!$C$19</definedName>
    <definedName name="SCDPT5_070BEGINNG_10" localSheetId="8">GMIC_22A_SCDPT5!$L$19</definedName>
    <definedName name="SCDPT5_070BEGINNG_11" localSheetId="8">GMIC_22A_SCDPT5!$M$19</definedName>
    <definedName name="SCDPT5_070BEGINNG_12" localSheetId="8">GMIC_22A_SCDPT5!$N$19</definedName>
    <definedName name="SCDPT5_070BEGINNG_13" localSheetId="8">GMIC_22A_SCDPT5!$O$19</definedName>
    <definedName name="SCDPT5_070BEGINNG_14" localSheetId="8">GMIC_22A_SCDPT5!$P$19</definedName>
    <definedName name="SCDPT5_070BEGINNG_15" localSheetId="8">GMIC_22A_SCDPT5!$Q$19</definedName>
    <definedName name="SCDPT5_070BEGINNG_16" localSheetId="8">GMIC_22A_SCDPT5!$R$19</definedName>
    <definedName name="SCDPT5_070BEGINNG_17" localSheetId="8">GMIC_22A_SCDPT5!$S$19</definedName>
    <definedName name="SCDPT5_070BEGINNG_18" localSheetId="8">GMIC_22A_SCDPT5!$T$19</definedName>
    <definedName name="SCDPT5_070BEGINNG_19" localSheetId="8">GMIC_22A_SCDPT5!$U$19</definedName>
    <definedName name="SCDPT5_070BEGINNG_2" localSheetId="8">GMIC_22A_SCDPT5!$D$19</definedName>
    <definedName name="SCDPT5_070BEGINNG_20" localSheetId="8">GMIC_22A_SCDPT5!$V$19</definedName>
    <definedName name="SCDPT5_070BEGINNG_21" localSheetId="8">GMIC_22A_SCDPT5!$W$19</definedName>
    <definedName name="SCDPT5_070BEGINNG_22" localSheetId="8">GMIC_22A_SCDPT5!$X$19</definedName>
    <definedName name="SCDPT5_070BEGINNG_23" localSheetId="8">GMIC_22A_SCDPT5!$Y$19</definedName>
    <definedName name="SCDPT5_070BEGINNG_24" localSheetId="8">GMIC_22A_SCDPT5!$Z$19</definedName>
    <definedName name="SCDPT5_070BEGINNG_25" localSheetId="8">GMIC_22A_SCDPT5!$AA$19</definedName>
    <definedName name="SCDPT5_070BEGINNG_26" localSheetId="8">GMIC_22A_SCDPT5!$AB$19</definedName>
    <definedName name="SCDPT5_070BEGINNG_27" localSheetId="8">GMIC_22A_SCDPT5!$AC$19</definedName>
    <definedName name="SCDPT5_070BEGINNG_3" localSheetId="8">GMIC_22A_SCDPT5!$E$19</definedName>
    <definedName name="SCDPT5_070BEGINNG_4" localSheetId="8">GMIC_22A_SCDPT5!$F$19</definedName>
    <definedName name="SCDPT5_070BEGINNG_5" localSheetId="8">GMIC_22A_SCDPT5!$G$19</definedName>
    <definedName name="SCDPT5_070BEGINNG_6" localSheetId="8">GMIC_22A_SCDPT5!$H$19</definedName>
    <definedName name="SCDPT5_070BEGINNG_7" localSheetId="8">GMIC_22A_SCDPT5!$I$19</definedName>
    <definedName name="SCDPT5_070BEGINNG_8" localSheetId="8">GMIC_22A_SCDPT5!$J$19</definedName>
    <definedName name="SCDPT5_070BEGINNG_9" localSheetId="8">GMIC_22A_SCDPT5!$K$19</definedName>
    <definedName name="SCDPT5_070ENDINGG_10" localSheetId="8">GMIC_22A_SCDPT5!$L$21</definedName>
    <definedName name="SCDPT5_070ENDINGG_11" localSheetId="8">GMIC_22A_SCDPT5!$M$21</definedName>
    <definedName name="SCDPT5_070ENDINGG_12" localSheetId="8">GMIC_22A_SCDPT5!$N$21</definedName>
    <definedName name="SCDPT5_070ENDINGG_13" localSheetId="8">GMIC_22A_SCDPT5!$O$21</definedName>
    <definedName name="SCDPT5_070ENDINGG_14" localSheetId="8">GMIC_22A_SCDPT5!$P$21</definedName>
    <definedName name="SCDPT5_070ENDINGG_15" localSheetId="8">GMIC_22A_SCDPT5!$Q$21</definedName>
    <definedName name="SCDPT5_070ENDINGG_16" localSheetId="8">GMIC_22A_SCDPT5!$R$21</definedName>
    <definedName name="SCDPT5_070ENDINGG_17" localSheetId="8">GMIC_22A_SCDPT5!$S$21</definedName>
    <definedName name="SCDPT5_070ENDINGG_18" localSheetId="8">GMIC_22A_SCDPT5!$T$21</definedName>
    <definedName name="SCDPT5_070ENDINGG_19" localSheetId="8">GMIC_22A_SCDPT5!$U$21</definedName>
    <definedName name="SCDPT5_070ENDINGG_2" localSheetId="8">GMIC_22A_SCDPT5!$D$21</definedName>
    <definedName name="SCDPT5_070ENDINGG_20" localSheetId="8">GMIC_22A_SCDPT5!$V$21</definedName>
    <definedName name="SCDPT5_070ENDINGG_21" localSheetId="8">GMIC_22A_SCDPT5!$W$21</definedName>
    <definedName name="SCDPT5_070ENDINGG_22" localSheetId="8">GMIC_22A_SCDPT5!$X$21</definedName>
    <definedName name="SCDPT5_070ENDINGG_23" localSheetId="8">GMIC_22A_SCDPT5!$Y$21</definedName>
    <definedName name="SCDPT5_070ENDINGG_24" localSheetId="8">GMIC_22A_SCDPT5!$Z$21</definedName>
    <definedName name="SCDPT5_070ENDINGG_25" localSheetId="8">GMIC_22A_SCDPT5!$AA$21</definedName>
    <definedName name="SCDPT5_070ENDINGG_26" localSheetId="8">GMIC_22A_SCDPT5!$AB$21</definedName>
    <definedName name="SCDPT5_070ENDINGG_27" localSheetId="8">GMIC_22A_SCDPT5!$AC$21</definedName>
    <definedName name="SCDPT5_070ENDINGG_3" localSheetId="8">GMIC_22A_SCDPT5!$E$21</definedName>
    <definedName name="SCDPT5_070ENDINGG_4" localSheetId="8">GMIC_22A_SCDPT5!$F$21</definedName>
    <definedName name="SCDPT5_070ENDINGG_5" localSheetId="8">GMIC_22A_SCDPT5!$G$21</definedName>
    <definedName name="SCDPT5_070ENDINGG_6" localSheetId="8">GMIC_22A_SCDPT5!$H$21</definedName>
    <definedName name="SCDPT5_070ENDINGG_7" localSheetId="8">GMIC_22A_SCDPT5!$I$21</definedName>
    <definedName name="SCDPT5_070ENDINGG_8" localSheetId="8">GMIC_22A_SCDPT5!$J$21</definedName>
    <definedName name="SCDPT5_070ENDINGG_9" localSheetId="8">GMIC_22A_SCDPT5!$K$21</definedName>
    <definedName name="SCDPT5_0900000000_Range" localSheetId="8">GMIC_22A_SCDPT5!$B$23:$AC$25</definedName>
    <definedName name="SCDPT5_0900000001_1" localSheetId="8">GMIC_22A_SCDPT5!$C$24</definedName>
    <definedName name="SCDPT5_0900000001_10" localSheetId="8">GMIC_22A_SCDPT5!$L$24</definedName>
    <definedName name="SCDPT5_0900000001_11" localSheetId="8">GMIC_22A_SCDPT5!$M$24</definedName>
    <definedName name="SCDPT5_0900000001_12" localSheetId="8">GMIC_22A_SCDPT5!$N$24</definedName>
    <definedName name="SCDPT5_0900000001_13" localSheetId="8">GMIC_22A_SCDPT5!$O$24</definedName>
    <definedName name="SCDPT5_0900000001_14" localSheetId="8">GMIC_22A_SCDPT5!$P$24</definedName>
    <definedName name="SCDPT5_0900000001_15" localSheetId="8">GMIC_22A_SCDPT5!$Q$24</definedName>
    <definedName name="SCDPT5_0900000001_16" localSheetId="8">GMIC_22A_SCDPT5!$R$24</definedName>
    <definedName name="SCDPT5_0900000001_17" localSheetId="8">GMIC_22A_SCDPT5!$S$24</definedName>
    <definedName name="SCDPT5_0900000001_18" localSheetId="8">GMIC_22A_SCDPT5!$T$24</definedName>
    <definedName name="SCDPT5_0900000001_19" localSheetId="8">GMIC_22A_SCDPT5!$U$24</definedName>
    <definedName name="SCDPT5_0900000001_2" localSheetId="8">GMIC_22A_SCDPT5!$D$24</definedName>
    <definedName name="SCDPT5_0900000001_20" localSheetId="8">GMIC_22A_SCDPT5!$V$24</definedName>
    <definedName name="SCDPT5_0900000001_21" localSheetId="8">GMIC_22A_SCDPT5!$W$24</definedName>
    <definedName name="SCDPT5_0900000001_22" localSheetId="8">GMIC_22A_SCDPT5!$X$24</definedName>
    <definedName name="SCDPT5_0900000001_23" localSheetId="8">GMIC_22A_SCDPT5!$Y$24</definedName>
    <definedName name="SCDPT5_0900000001_24" localSheetId="8">GMIC_22A_SCDPT5!$Z$24</definedName>
    <definedName name="SCDPT5_0900000001_25" localSheetId="8">GMIC_22A_SCDPT5!$AA$24</definedName>
    <definedName name="SCDPT5_0900000001_26" localSheetId="8">GMIC_22A_SCDPT5!$AB$24</definedName>
    <definedName name="SCDPT5_0900000001_27" localSheetId="8">GMIC_22A_SCDPT5!$AC$24</definedName>
    <definedName name="SCDPT5_0900000001_3" localSheetId="8">GMIC_22A_SCDPT5!$E$24</definedName>
    <definedName name="SCDPT5_0900000001_4" localSheetId="8">GMIC_22A_SCDPT5!$F$24</definedName>
    <definedName name="SCDPT5_0900000001_5" localSheetId="8">GMIC_22A_SCDPT5!$G$24</definedName>
    <definedName name="SCDPT5_0900000001_6" localSheetId="8">GMIC_22A_SCDPT5!$H$24</definedName>
    <definedName name="SCDPT5_0900000001_7" localSheetId="8">GMIC_22A_SCDPT5!$I$24</definedName>
    <definedName name="SCDPT5_0900000001_8" localSheetId="8">GMIC_22A_SCDPT5!$J$24</definedName>
    <definedName name="SCDPT5_0900000001_9" localSheetId="8">GMIC_22A_SCDPT5!$K$24</definedName>
    <definedName name="SCDPT5_0909999999_10" localSheetId="8">GMIC_22A_SCDPT5!$L$26</definedName>
    <definedName name="SCDPT5_0909999999_11" localSheetId="8">GMIC_22A_SCDPT5!$M$26</definedName>
    <definedName name="SCDPT5_0909999999_12" localSheetId="8">GMIC_22A_SCDPT5!$N$26</definedName>
    <definedName name="SCDPT5_0909999999_13" localSheetId="8">GMIC_22A_SCDPT5!$O$26</definedName>
    <definedName name="SCDPT5_0909999999_14" localSheetId="8">GMIC_22A_SCDPT5!$P$26</definedName>
    <definedName name="SCDPT5_0909999999_15" localSheetId="8">GMIC_22A_SCDPT5!$Q$26</definedName>
    <definedName name="SCDPT5_0909999999_16" localSheetId="8">GMIC_22A_SCDPT5!$R$26</definedName>
    <definedName name="SCDPT5_0909999999_17" localSheetId="8">GMIC_22A_SCDPT5!$S$26</definedName>
    <definedName name="SCDPT5_0909999999_18" localSheetId="8">GMIC_22A_SCDPT5!$T$26</definedName>
    <definedName name="SCDPT5_0909999999_19" localSheetId="8">GMIC_22A_SCDPT5!$U$26</definedName>
    <definedName name="SCDPT5_0909999999_20" localSheetId="8">GMIC_22A_SCDPT5!$V$26</definedName>
    <definedName name="SCDPT5_0909999999_21" localSheetId="8">GMIC_22A_SCDPT5!$W$26</definedName>
    <definedName name="SCDPT5_0909999999_8" localSheetId="8">GMIC_22A_SCDPT5!$J$26</definedName>
    <definedName name="SCDPT5_0909999999_9" localSheetId="8">GMIC_22A_SCDPT5!$K$26</definedName>
    <definedName name="SCDPT5_090BEGINNG_1" localSheetId="8">GMIC_22A_SCDPT5!$C$23</definedName>
    <definedName name="SCDPT5_090BEGINNG_10" localSheetId="8">GMIC_22A_SCDPT5!$L$23</definedName>
    <definedName name="SCDPT5_090BEGINNG_11" localSheetId="8">GMIC_22A_SCDPT5!$M$23</definedName>
    <definedName name="SCDPT5_090BEGINNG_12" localSheetId="8">GMIC_22A_SCDPT5!$N$23</definedName>
    <definedName name="SCDPT5_090BEGINNG_13" localSheetId="8">GMIC_22A_SCDPT5!$O$23</definedName>
    <definedName name="SCDPT5_090BEGINNG_14" localSheetId="8">GMIC_22A_SCDPT5!$P$23</definedName>
    <definedName name="SCDPT5_090BEGINNG_15" localSheetId="8">GMIC_22A_SCDPT5!$Q$23</definedName>
    <definedName name="SCDPT5_090BEGINNG_16" localSheetId="8">GMIC_22A_SCDPT5!$R$23</definedName>
    <definedName name="SCDPT5_090BEGINNG_17" localSheetId="8">GMIC_22A_SCDPT5!$S$23</definedName>
    <definedName name="SCDPT5_090BEGINNG_18" localSheetId="8">GMIC_22A_SCDPT5!$T$23</definedName>
    <definedName name="SCDPT5_090BEGINNG_19" localSheetId="8">GMIC_22A_SCDPT5!$U$23</definedName>
    <definedName name="SCDPT5_090BEGINNG_2" localSheetId="8">GMIC_22A_SCDPT5!$D$23</definedName>
    <definedName name="SCDPT5_090BEGINNG_20" localSheetId="8">GMIC_22A_SCDPT5!$V$23</definedName>
    <definedName name="SCDPT5_090BEGINNG_21" localSheetId="8">GMIC_22A_SCDPT5!$W$23</definedName>
    <definedName name="SCDPT5_090BEGINNG_22" localSheetId="8">GMIC_22A_SCDPT5!$X$23</definedName>
    <definedName name="SCDPT5_090BEGINNG_23" localSheetId="8">GMIC_22A_SCDPT5!$Y$23</definedName>
    <definedName name="SCDPT5_090BEGINNG_24" localSheetId="8">GMIC_22A_SCDPT5!$Z$23</definedName>
    <definedName name="SCDPT5_090BEGINNG_25" localSheetId="8">GMIC_22A_SCDPT5!$AA$23</definedName>
    <definedName name="SCDPT5_090BEGINNG_26" localSheetId="8">GMIC_22A_SCDPT5!$AB$23</definedName>
    <definedName name="SCDPT5_090BEGINNG_27" localSheetId="8">GMIC_22A_SCDPT5!$AC$23</definedName>
    <definedName name="SCDPT5_090BEGINNG_3" localSheetId="8">GMIC_22A_SCDPT5!$E$23</definedName>
    <definedName name="SCDPT5_090BEGINNG_4" localSheetId="8">GMIC_22A_SCDPT5!$F$23</definedName>
    <definedName name="SCDPT5_090BEGINNG_5" localSheetId="8">GMIC_22A_SCDPT5!$G$23</definedName>
    <definedName name="SCDPT5_090BEGINNG_6" localSheetId="8">GMIC_22A_SCDPT5!$H$23</definedName>
    <definedName name="SCDPT5_090BEGINNG_7" localSheetId="8">GMIC_22A_SCDPT5!$I$23</definedName>
    <definedName name="SCDPT5_090BEGINNG_8" localSheetId="8">GMIC_22A_SCDPT5!$J$23</definedName>
    <definedName name="SCDPT5_090BEGINNG_9" localSheetId="8">GMIC_22A_SCDPT5!$K$23</definedName>
    <definedName name="SCDPT5_090ENDINGG_10" localSheetId="8">GMIC_22A_SCDPT5!$L$25</definedName>
    <definedName name="SCDPT5_090ENDINGG_11" localSheetId="8">GMIC_22A_SCDPT5!$M$25</definedName>
    <definedName name="SCDPT5_090ENDINGG_12" localSheetId="8">GMIC_22A_SCDPT5!$N$25</definedName>
    <definedName name="SCDPT5_090ENDINGG_13" localSheetId="8">GMIC_22A_SCDPT5!$O$25</definedName>
    <definedName name="SCDPT5_090ENDINGG_14" localSheetId="8">GMIC_22A_SCDPT5!$P$25</definedName>
    <definedName name="SCDPT5_090ENDINGG_15" localSheetId="8">GMIC_22A_SCDPT5!$Q$25</definedName>
    <definedName name="SCDPT5_090ENDINGG_16" localSheetId="8">GMIC_22A_SCDPT5!$R$25</definedName>
    <definedName name="SCDPT5_090ENDINGG_17" localSheetId="8">GMIC_22A_SCDPT5!$S$25</definedName>
    <definedName name="SCDPT5_090ENDINGG_18" localSheetId="8">GMIC_22A_SCDPT5!$T$25</definedName>
    <definedName name="SCDPT5_090ENDINGG_19" localSheetId="8">GMIC_22A_SCDPT5!$U$25</definedName>
    <definedName name="SCDPT5_090ENDINGG_2" localSheetId="8">GMIC_22A_SCDPT5!$D$25</definedName>
    <definedName name="SCDPT5_090ENDINGG_20" localSheetId="8">GMIC_22A_SCDPT5!$V$25</definedName>
    <definedName name="SCDPT5_090ENDINGG_21" localSheetId="8">GMIC_22A_SCDPT5!$W$25</definedName>
    <definedName name="SCDPT5_090ENDINGG_22" localSheetId="8">GMIC_22A_SCDPT5!$X$25</definedName>
    <definedName name="SCDPT5_090ENDINGG_23" localSheetId="8">GMIC_22A_SCDPT5!$Y$25</definedName>
    <definedName name="SCDPT5_090ENDINGG_24" localSheetId="8">GMIC_22A_SCDPT5!$Z$25</definedName>
    <definedName name="SCDPT5_090ENDINGG_25" localSheetId="8">GMIC_22A_SCDPT5!$AA$25</definedName>
    <definedName name="SCDPT5_090ENDINGG_26" localSheetId="8">GMIC_22A_SCDPT5!$AB$25</definedName>
    <definedName name="SCDPT5_090ENDINGG_27" localSheetId="8">GMIC_22A_SCDPT5!$AC$25</definedName>
    <definedName name="SCDPT5_090ENDINGG_3" localSheetId="8">GMIC_22A_SCDPT5!$E$25</definedName>
    <definedName name="SCDPT5_090ENDINGG_4" localSheetId="8">GMIC_22A_SCDPT5!$F$25</definedName>
    <definedName name="SCDPT5_090ENDINGG_5" localSheetId="8">GMIC_22A_SCDPT5!$G$25</definedName>
    <definedName name="SCDPT5_090ENDINGG_6" localSheetId="8">GMIC_22A_SCDPT5!$H$25</definedName>
    <definedName name="SCDPT5_090ENDINGG_7" localSheetId="8">GMIC_22A_SCDPT5!$I$25</definedName>
    <definedName name="SCDPT5_090ENDINGG_8" localSheetId="8">GMIC_22A_SCDPT5!$J$25</definedName>
    <definedName name="SCDPT5_090ENDINGG_9" localSheetId="8">GMIC_22A_SCDPT5!$K$25</definedName>
    <definedName name="SCDPT5_1100000000_Range" localSheetId="8">GMIC_22A_SCDPT5!$B$27:$AC$48</definedName>
    <definedName name="SCDPT5_1100000001_1" localSheetId="8">GMIC_22A_SCDPT5!$C$28</definedName>
    <definedName name="SCDPT5_1100000001_10" localSheetId="8">GMIC_22A_SCDPT5!$L$28</definedName>
    <definedName name="SCDPT5_1100000001_11" localSheetId="8">GMIC_22A_SCDPT5!$M$28</definedName>
    <definedName name="SCDPT5_1100000001_12" localSheetId="8">GMIC_22A_SCDPT5!$N$28</definedName>
    <definedName name="SCDPT5_1100000001_13" localSheetId="8">GMIC_22A_SCDPT5!$O$28</definedName>
    <definedName name="SCDPT5_1100000001_14" localSheetId="8">GMIC_22A_SCDPT5!$P$28</definedName>
    <definedName name="SCDPT5_1100000001_15" localSheetId="8">GMIC_22A_SCDPT5!$Q$28</definedName>
    <definedName name="SCDPT5_1100000001_16" localSheetId="8">GMIC_22A_SCDPT5!$R$28</definedName>
    <definedName name="SCDPT5_1100000001_17" localSheetId="8">GMIC_22A_SCDPT5!$S$28</definedName>
    <definedName name="SCDPT5_1100000001_18" localSheetId="8">GMIC_22A_SCDPT5!$T$28</definedName>
    <definedName name="SCDPT5_1100000001_19" localSheetId="8">GMIC_22A_SCDPT5!$U$28</definedName>
    <definedName name="SCDPT5_1100000001_2" localSheetId="8">GMIC_22A_SCDPT5!$D$28</definedName>
    <definedName name="SCDPT5_1100000001_20" localSheetId="8">GMIC_22A_SCDPT5!$V$28</definedName>
    <definedName name="SCDPT5_1100000001_21" localSheetId="8">GMIC_22A_SCDPT5!$W$28</definedName>
    <definedName name="SCDPT5_1100000001_23" localSheetId="8">GMIC_22A_SCDPT5!$Y$28</definedName>
    <definedName name="SCDPT5_1100000001_24" localSheetId="8">GMIC_22A_SCDPT5!$Z$28</definedName>
    <definedName name="SCDPT5_1100000001_25" localSheetId="8">GMIC_22A_SCDPT5!$AA$28</definedName>
    <definedName name="SCDPT5_1100000001_26" localSheetId="8">GMIC_22A_SCDPT5!$AB$28</definedName>
    <definedName name="SCDPT5_1100000001_27" localSheetId="8">GMIC_22A_SCDPT5!$AC$28</definedName>
    <definedName name="SCDPT5_1100000001_3" localSheetId="8">GMIC_22A_SCDPT5!$E$28</definedName>
    <definedName name="SCDPT5_1100000001_4" localSheetId="8">GMIC_22A_SCDPT5!$F$28</definedName>
    <definedName name="SCDPT5_1100000001_5" localSheetId="8">GMIC_22A_SCDPT5!$G$28</definedName>
    <definedName name="SCDPT5_1100000001_6" localSheetId="8">GMIC_22A_SCDPT5!$H$28</definedName>
    <definedName name="SCDPT5_1100000001_7" localSheetId="8">GMIC_22A_SCDPT5!$I$28</definedName>
    <definedName name="SCDPT5_1100000001_8" localSheetId="8">GMIC_22A_SCDPT5!$J$28</definedName>
    <definedName name="SCDPT5_1100000001_9" localSheetId="8">GMIC_22A_SCDPT5!$K$28</definedName>
    <definedName name="SCDPT5_1109999999_10" localSheetId="8">GMIC_22A_SCDPT5!$L$49</definedName>
    <definedName name="SCDPT5_1109999999_11" localSheetId="8">GMIC_22A_SCDPT5!$M$49</definedName>
    <definedName name="SCDPT5_1109999999_12" localSheetId="8">GMIC_22A_SCDPT5!$N$49</definedName>
    <definedName name="SCDPT5_1109999999_13" localSheetId="8">GMIC_22A_SCDPT5!$O$49</definedName>
    <definedName name="SCDPT5_1109999999_14" localSheetId="8">GMIC_22A_SCDPT5!$P$49</definedName>
    <definedName name="SCDPT5_1109999999_15" localSheetId="8">GMIC_22A_SCDPT5!$Q$49</definedName>
    <definedName name="SCDPT5_1109999999_16" localSheetId="8">GMIC_22A_SCDPT5!$R$49</definedName>
    <definedName name="SCDPT5_1109999999_17" localSheetId="8">GMIC_22A_SCDPT5!$S$49</definedName>
    <definedName name="SCDPT5_1109999999_18" localSheetId="8">GMIC_22A_SCDPT5!$T$49</definedName>
    <definedName name="SCDPT5_1109999999_19" localSheetId="8">GMIC_22A_SCDPT5!$U$49</definedName>
    <definedName name="SCDPT5_1109999999_20" localSheetId="8">GMIC_22A_SCDPT5!$V$49</definedName>
    <definedName name="SCDPT5_1109999999_21" localSheetId="8">GMIC_22A_SCDPT5!$W$49</definedName>
    <definedName name="SCDPT5_1109999999_8" localSheetId="8">GMIC_22A_SCDPT5!$J$49</definedName>
    <definedName name="SCDPT5_1109999999_9" localSheetId="8">GMIC_22A_SCDPT5!$K$49</definedName>
    <definedName name="SCDPT5_110BEGINNG_1" localSheetId="8">GMIC_22A_SCDPT5!$C$27</definedName>
    <definedName name="SCDPT5_110BEGINNG_10" localSheetId="8">GMIC_22A_SCDPT5!$L$27</definedName>
    <definedName name="SCDPT5_110BEGINNG_11" localSheetId="8">GMIC_22A_SCDPT5!$M$27</definedName>
    <definedName name="SCDPT5_110BEGINNG_12" localSheetId="8">GMIC_22A_SCDPT5!$N$27</definedName>
    <definedName name="SCDPT5_110BEGINNG_13" localSheetId="8">GMIC_22A_SCDPT5!$O$27</definedName>
    <definedName name="SCDPT5_110BEGINNG_14" localSheetId="8">GMIC_22A_SCDPT5!$P$27</definedName>
    <definedName name="SCDPT5_110BEGINNG_15" localSheetId="8">GMIC_22A_SCDPT5!$Q$27</definedName>
    <definedName name="SCDPT5_110BEGINNG_16" localSheetId="8">GMIC_22A_SCDPT5!$R$27</definedName>
    <definedName name="SCDPT5_110BEGINNG_17" localSheetId="8">GMIC_22A_SCDPT5!$S$27</definedName>
    <definedName name="SCDPT5_110BEGINNG_18" localSheetId="8">GMIC_22A_SCDPT5!$T$27</definedName>
    <definedName name="SCDPT5_110BEGINNG_19" localSheetId="8">GMIC_22A_SCDPT5!$U$27</definedName>
    <definedName name="SCDPT5_110BEGINNG_2" localSheetId="8">GMIC_22A_SCDPT5!$D$27</definedName>
    <definedName name="SCDPT5_110BEGINNG_20" localSheetId="8">GMIC_22A_SCDPT5!$V$27</definedName>
    <definedName name="SCDPT5_110BEGINNG_21" localSheetId="8">GMIC_22A_SCDPT5!$W$27</definedName>
    <definedName name="SCDPT5_110BEGINNG_22" localSheetId="8">GMIC_22A_SCDPT5!$X$27</definedName>
    <definedName name="SCDPT5_110BEGINNG_23" localSheetId="8">GMIC_22A_SCDPT5!$Y$27</definedName>
    <definedName name="SCDPT5_110BEGINNG_24" localSheetId="8">GMIC_22A_SCDPT5!$Z$27</definedName>
    <definedName name="SCDPT5_110BEGINNG_25" localSheetId="8">GMIC_22A_SCDPT5!$AA$27</definedName>
    <definedName name="SCDPT5_110BEGINNG_26" localSheetId="8">GMIC_22A_SCDPT5!$AB$27</definedName>
    <definedName name="SCDPT5_110BEGINNG_27" localSheetId="8">GMIC_22A_SCDPT5!$AC$27</definedName>
    <definedName name="SCDPT5_110BEGINNG_3" localSheetId="8">GMIC_22A_SCDPT5!$E$27</definedName>
    <definedName name="SCDPT5_110BEGINNG_4" localSheetId="8">GMIC_22A_SCDPT5!$F$27</definedName>
    <definedName name="SCDPT5_110BEGINNG_5" localSheetId="8">GMIC_22A_SCDPT5!$G$27</definedName>
    <definedName name="SCDPT5_110BEGINNG_6" localSheetId="8">GMIC_22A_SCDPT5!$H$27</definedName>
    <definedName name="SCDPT5_110BEGINNG_7" localSheetId="8">GMIC_22A_SCDPT5!$I$27</definedName>
    <definedName name="SCDPT5_110BEGINNG_8" localSheetId="8">GMIC_22A_SCDPT5!$J$27</definedName>
    <definedName name="SCDPT5_110BEGINNG_9" localSheetId="8">GMIC_22A_SCDPT5!$K$27</definedName>
    <definedName name="SCDPT5_110ENDINGG_10" localSheetId="8">GMIC_22A_SCDPT5!$L$48</definedName>
    <definedName name="SCDPT5_110ENDINGG_11" localSheetId="8">GMIC_22A_SCDPT5!$M$48</definedName>
    <definedName name="SCDPT5_110ENDINGG_12" localSheetId="8">GMIC_22A_SCDPT5!$N$48</definedName>
    <definedName name="SCDPT5_110ENDINGG_13" localSheetId="8">GMIC_22A_SCDPT5!$O$48</definedName>
    <definedName name="SCDPT5_110ENDINGG_14" localSheetId="8">GMIC_22A_SCDPT5!$P$48</definedName>
    <definedName name="SCDPT5_110ENDINGG_15" localSheetId="8">GMIC_22A_SCDPT5!$Q$48</definedName>
    <definedName name="SCDPT5_110ENDINGG_16" localSheetId="8">GMIC_22A_SCDPT5!$R$48</definedName>
    <definedName name="SCDPT5_110ENDINGG_17" localSheetId="8">GMIC_22A_SCDPT5!$S$48</definedName>
    <definedName name="SCDPT5_110ENDINGG_18" localSheetId="8">GMIC_22A_SCDPT5!$T$48</definedName>
    <definedName name="SCDPT5_110ENDINGG_19" localSheetId="8">GMIC_22A_SCDPT5!$U$48</definedName>
    <definedName name="SCDPT5_110ENDINGG_2" localSheetId="8">GMIC_22A_SCDPT5!$D$48</definedName>
    <definedName name="SCDPT5_110ENDINGG_20" localSheetId="8">GMIC_22A_SCDPT5!$V$48</definedName>
    <definedName name="SCDPT5_110ENDINGG_21" localSheetId="8">GMIC_22A_SCDPT5!$W$48</definedName>
    <definedName name="SCDPT5_110ENDINGG_22" localSheetId="8">GMIC_22A_SCDPT5!$X$48</definedName>
    <definedName name="SCDPT5_110ENDINGG_23" localSheetId="8">GMIC_22A_SCDPT5!$Y$48</definedName>
    <definedName name="SCDPT5_110ENDINGG_24" localSheetId="8">GMIC_22A_SCDPT5!$Z$48</definedName>
    <definedName name="SCDPT5_110ENDINGG_25" localSheetId="8">GMIC_22A_SCDPT5!$AA$48</definedName>
    <definedName name="SCDPT5_110ENDINGG_26" localSheetId="8">GMIC_22A_SCDPT5!$AB$48</definedName>
    <definedName name="SCDPT5_110ENDINGG_27" localSheetId="8">GMIC_22A_SCDPT5!$AC$48</definedName>
    <definedName name="SCDPT5_110ENDINGG_3" localSheetId="8">GMIC_22A_SCDPT5!$E$48</definedName>
    <definedName name="SCDPT5_110ENDINGG_4" localSheetId="8">GMIC_22A_SCDPT5!$F$48</definedName>
    <definedName name="SCDPT5_110ENDINGG_5" localSheetId="8">GMIC_22A_SCDPT5!$G$48</definedName>
    <definedName name="SCDPT5_110ENDINGG_6" localSheetId="8">GMIC_22A_SCDPT5!$H$48</definedName>
    <definedName name="SCDPT5_110ENDINGG_7" localSheetId="8">GMIC_22A_SCDPT5!$I$48</definedName>
    <definedName name="SCDPT5_110ENDINGG_8" localSheetId="8">GMIC_22A_SCDPT5!$J$48</definedName>
    <definedName name="SCDPT5_110ENDINGG_9" localSheetId="8">GMIC_22A_SCDPT5!$K$48</definedName>
    <definedName name="SCDPT5_1300000000_Range" localSheetId="8">GMIC_22A_SCDPT5!$B$50:$AC$52</definedName>
    <definedName name="SCDPT5_1309999999_10" localSheetId="8">GMIC_22A_SCDPT5!$L$53</definedName>
    <definedName name="SCDPT5_1309999999_11" localSheetId="8">GMIC_22A_SCDPT5!$M$53</definedName>
    <definedName name="SCDPT5_1309999999_12" localSheetId="8">GMIC_22A_SCDPT5!$N$53</definedName>
    <definedName name="SCDPT5_1309999999_13" localSheetId="8">GMIC_22A_SCDPT5!$O$53</definedName>
    <definedName name="SCDPT5_1309999999_14" localSheetId="8">GMIC_22A_SCDPT5!$P$53</definedName>
    <definedName name="SCDPT5_1309999999_15" localSheetId="8">GMIC_22A_SCDPT5!$Q$53</definedName>
    <definedName name="SCDPT5_1309999999_16" localSheetId="8">GMIC_22A_SCDPT5!$R$53</definedName>
    <definedName name="SCDPT5_1309999999_17" localSheetId="8">GMIC_22A_SCDPT5!$S$53</definedName>
    <definedName name="SCDPT5_1309999999_18" localSheetId="8">GMIC_22A_SCDPT5!$T$53</definedName>
    <definedName name="SCDPT5_1309999999_19" localSheetId="8">GMIC_22A_SCDPT5!$U$53</definedName>
    <definedName name="SCDPT5_1309999999_20" localSheetId="8">GMIC_22A_SCDPT5!$V$53</definedName>
    <definedName name="SCDPT5_1309999999_21" localSheetId="8">GMIC_22A_SCDPT5!$W$53</definedName>
    <definedName name="SCDPT5_1309999999_8" localSheetId="8">GMIC_22A_SCDPT5!$J$53</definedName>
    <definedName name="SCDPT5_1309999999_9" localSheetId="8">GMIC_22A_SCDPT5!$K$53</definedName>
    <definedName name="SCDPT5_130BEGINNG_1" localSheetId="8">GMIC_22A_SCDPT5!$C$50</definedName>
    <definedName name="SCDPT5_130BEGINNG_10" localSheetId="8">GMIC_22A_SCDPT5!$L$50</definedName>
    <definedName name="SCDPT5_130BEGINNG_11" localSheetId="8">GMIC_22A_SCDPT5!$M$50</definedName>
    <definedName name="SCDPT5_130BEGINNG_12" localSheetId="8">GMIC_22A_SCDPT5!$N$50</definedName>
    <definedName name="SCDPT5_130BEGINNG_13" localSheetId="8">GMIC_22A_SCDPT5!$O$50</definedName>
    <definedName name="SCDPT5_130BEGINNG_14" localSheetId="8">GMIC_22A_SCDPT5!$P$50</definedName>
    <definedName name="SCDPT5_130BEGINNG_15" localSheetId="8">GMIC_22A_SCDPT5!$Q$50</definedName>
    <definedName name="SCDPT5_130BEGINNG_16" localSheetId="8">GMIC_22A_SCDPT5!$R$50</definedName>
    <definedName name="SCDPT5_130BEGINNG_17" localSheetId="8">GMIC_22A_SCDPT5!$S$50</definedName>
    <definedName name="SCDPT5_130BEGINNG_18" localSheetId="8">GMIC_22A_SCDPT5!$T$50</definedName>
    <definedName name="SCDPT5_130BEGINNG_19" localSheetId="8">GMIC_22A_SCDPT5!$U$50</definedName>
    <definedName name="SCDPT5_130BEGINNG_2" localSheetId="8">GMIC_22A_SCDPT5!$D$50</definedName>
    <definedName name="SCDPT5_130BEGINNG_20" localSheetId="8">GMIC_22A_SCDPT5!$V$50</definedName>
    <definedName name="SCDPT5_130BEGINNG_21" localSheetId="8">GMIC_22A_SCDPT5!$W$50</definedName>
    <definedName name="SCDPT5_130BEGINNG_22" localSheetId="8">GMIC_22A_SCDPT5!$X$50</definedName>
    <definedName name="SCDPT5_130BEGINNG_23" localSheetId="8">GMIC_22A_SCDPT5!$Y$50</definedName>
    <definedName name="SCDPT5_130BEGINNG_24" localSheetId="8">GMIC_22A_SCDPT5!$Z$50</definedName>
    <definedName name="SCDPT5_130BEGINNG_25" localSheetId="8">GMIC_22A_SCDPT5!$AA$50</definedName>
    <definedName name="SCDPT5_130BEGINNG_26" localSheetId="8">GMIC_22A_SCDPT5!$AB$50</definedName>
    <definedName name="SCDPT5_130BEGINNG_27" localSheetId="8">GMIC_22A_SCDPT5!$AC$50</definedName>
    <definedName name="SCDPT5_130BEGINNG_3" localSheetId="8">GMIC_22A_SCDPT5!$E$50</definedName>
    <definedName name="SCDPT5_130BEGINNG_4" localSheetId="8">GMIC_22A_SCDPT5!$F$50</definedName>
    <definedName name="SCDPT5_130BEGINNG_5" localSheetId="8">GMIC_22A_SCDPT5!$G$50</definedName>
    <definedName name="SCDPT5_130BEGINNG_6" localSheetId="8">GMIC_22A_SCDPT5!$H$50</definedName>
    <definedName name="SCDPT5_130BEGINNG_7" localSheetId="8">GMIC_22A_SCDPT5!$I$50</definedName>
    <definedName name="SCDPT5_130BEGINNG_8" localSheetId="8">GMIC_22A_SCDPT5!$J$50</definedName>
    <definedName name="SCDPT5_130BEGINNG_9" localSheetId="8">GMIC_22A_SCDPT5!$K$50</definedName>
    <definedName name="SCDPT5_130ENDINGG_10" localSheetId="8">GMIC_22A_SCDPT5!$L$52</definedName>
    <definedName name="SCDPT5_130ENDINGG_11" localSheetId="8">GMIC_22A_SCDPT5!$M$52</definedName>
    <definedName name="SCDPT5_130ENDINGG_12" localSheetId="8">GMIC_22A_SCDPT5!$N$52</definedName>
    <definedName name="SCDPT5_130ENDINGG_13" localSheetId="8">GMIC_22A_SCDPT5!$O$52</definedName>
    <definedName name="SCDPT5_130ENDINGG_14" localSheetId="8">GMIC_22A_SCDPT5!$P$52</definedName>
    <definedName name="SCDPT5_130ENDINGG_15" localSheetId="8">GMIC_22A_SCDPT5!$Q$52</definedName>
    <definedName name="SCDPT5_130ENDINGG_16" localSheetId="8">GMIC_22A_SCDPT5!$R$52</definedName>
    <definedName name="SCDPT5_130ENDINGG_17" localSheetId="8">GMIC_22A_SCDPT5!$S$52</definedName>
    <definedName name="SCDPT5_130ENDINGG_18" localSheetId="8">GMIC_22A_SCDPT5!$T$52</definedName>
    <definedName name="SCDPT5_130ENDINGG_19" localSheetId="8">GMIC_22A_SCDPT5!$U$52</definedName>
    <definedName name="SCDPT5_130ENDINGG_2" localSheetId="8">GMIC_22A_SCDPT5!$D$52</definedName>
    <definedName name="SCDPT5_130ENDINGG_20" localSheetId="8">GMIC_22A_SCDPT5!$V$52</definedName>
    <definedName name="SCDPT5_130ENDINGG_21" localSheetId="8">GMIC_22A_SCDPT5!$W$52</definedName>
    <definedName name="SCDPT5_130ENDINGG_22" localSheetId="8">GMIC_22A_SCDPT5!$X$52</definedName>
    <definedName name="SCDPT5_130ENDINGG_23" localSheetId="8">GMIC_22A_SCDPT5!$Y$52</definedName>
    <definedName name="SCDPT5_130ENDINGG_24" localSheetId="8">GMIC_22A_SCDPT5!$Z$52</definedName>
    <definedName name="SCDPT5_130ENDINGG_25" localSheetId="8">GMIC_22A_SCDPT5!$AA$52</definedName>
    <definedName name="SCDPT5_130ENDINGG_26" localSheetId="8">GMIC_22A_SCDPT5!$AB$52</definedName>
    <definedName name="SCDPT5_130ENDINGG_27" localSheetId="8">GMIC_22A_SCDPT5!$AC$52</definedName>
    <definedName name="SCDPT5_130ENDINGG_3" localSheetId="8">GMIC_22A_SCDPT5!$E$52</definedName>
    <definedName name="SCDPT5_130ENDINGG_4" localSheetId="8">GMIC_22A_SCDPT5!$F$52</definedName>
    <definedName name="SCDPT5_130ENDINGG_5" localSheetId="8">GMIC_22A_SCDPT5!$G$52</definedName>
    <definedName name="SCDPT5_130ENDINGG_6" localSheetId="8">GMIC_22A_SCDPT5!$H$52</definedName>
    <definedName name="SCDPT5_130ENDINGG_7" localSheetId="8">GMIC_22A_SCDPT5!$I$52</definedName>
    <definedName name="SCDPT5_130ENDINGG_8" localSheetId="8">GMIC_22A_SCDPT5!$J$52</definedName>
    <definedName name="SCDPT5_130ENDINGG_9" localSheetId="8">GMIC_22A_SCDPT5!$K$52</definedName>
    <definedName name="SCDPT5_1500000000_Range" localSheetId="8">GMIC_22A_SCDPT5!$B$54:$AC$56</definedName>
    <definedName name="SCDPT5_1509999999_10" localSheetId="8">GMIC_22A_SCDPT5!$L$57</definedName>
    <definedName name="SCDPT5_1509999999_11" localSheetId="8">GMIC_22A_SCDPT5!$M$57</definedName>
    <definedName name="SCDPT5_1509999999_12" localSheetId="8">GMIC_22A_SCDPT5!$N$57</definedName>
    <definedName name="SCDPT5_1509999999_13" localSheetId="8">GMIC_22A_SCDPT5!$O$57</definedName>
    <definedName name="SCDPT5_1509999999_14" localSheetId="8">GMIC_22A_SCDPT5!$P$57</definedName>
    <definedName name="SCDPT5_1509999999_15" localSheetId="8">GMIC_22A_SCDPT5!$Q$57</definedName>
    <definedName name="SCDPT5_1509999999_16" localSheetId="8">GMIC_22A_SCDPT5!$R$57</definedName>
    <definedName name="SCDPT5_1509999999_17" localSheetId="8">GMIC_22A_SCDPT5!$S$57</definedName>
    <definedName name="SCDPT5_1509999999_18" localSheetId="8">GMIC_22A_SCDPT5!$T$57</definedName>
    <definedName name="SCDPT5_1509999999_19" localSheetId="8">GMIC_22A_SCDPT5!$U$57</definedName>
    <definedName name="SCDPT5_1509999999_20" localSheetId="8">GMIC_22A_SCDPT5!$V$57</definedName>
    <definedName name="SCDPT5_1509999999_21" localSheetId="8">GMIC_22A_SCDPT5!$W$57</definedName>
    <definedName name="SCDPT5_1509999999_8" localSheetId="8">GMIC_22A_SCDPT5!$J$57</definedName>
    <definedName name="SCDPT5_1509999999_9" localSheetId="8">GMIC_22A_SCDPT5!$K$57</definedName>
    <definedName name="SCDPT5_150BEGINNG_1" localSheetId="8">GMIC_22A_SCDPT5!$C$54</definedName>
    <definedName name="SCDPT5_150BEGINNG_10" localSheetId="8">GMIC_22A_SCDPT5!$L$54</definedName>
    <definedName name="SCDPT5_150BEGINNG_11" localSheetId="8">GMIC_22A_SCDPT5!$M$54</definedName>
    <definedName name="SCDPT5_150BEGINNG_12" localSheetId="8">GMIC_22A_SCDPT5!$N$54</definedName>
    <definedName name="SCDPT5_150BEGINNG_13" localSheetId="8">GMIC_22A_SCDPT5!$O$54</definedName>
    <definedName name="SCDPT5_150BEGINNG_14" localSheetId="8">GMIC_22A_SCDPT5!$P$54</definedName>
    <definedName name="SCDPT5_150BEGINNG_15" localSheetId="8">GMIC_22A_SCDPT5!$Q$54</definedName>
    <definedName name="SCDPT5_150BEGINNG_16" localSheetId="8">GMIC_22A_SCDPT5!$R$54</definedName>
    <definedName name="SCDPT5_150BEGINNG_17" localSheetId="8">GMIC_22A_SCDPT5!$S$54</definedName>
    <definedName name="SCDPT5_150BEGINNG_18" localSheetId="8">GMIC_22A_SCDPT5!$T$54</definedName>
    <definedName name="SCDPT5_150BEGINNG_19" localSheetId="8">GMIC_22A_SCDPT5!$U$54</definedName>
    <definedName name="SCDPT5_150BEGINNG_2" localSheetId="8">GMIC_22A_SCDPT5!$D$54</definedName>
    <definedName name="SCDPT5_150BEGINNG_20" localSheetId="8">GMIC_22A_SCDPT5!$V$54</definedName>
    <definedName name="SCDPT5_150BEGINNG_21" localSheetId="8">GMIC_22A_SCDPT5!$W$54</definedName>
    <definedName name="SCDPT5_150BEGINNG_22" localSheetId="8">GMIC_22A_SCDPT5!$X$54</definedName>
    <definedName name="SCDPT5_150BEGINNG_23" localSheetId="8">GMIC_22A_SCDPT5!$Y$54</definedName>
    <definedName name="SCDPT5_150BEGINNG_24" localSheetId="8">GMIC_22A_SCDPT5!$Z$54</definedName>
    <definedName name="SCDPT5_150BEGINNG_25" localSheetId="8">GMIC_22A_SCDPT5!$AA$54</definedName>
    <definedName name="SCDPT5_150BEGINNG_26" localSheetId="8">GMIC_22A_SCDPT5!$AB$54</definedName>
    <definedName name="SCDPT5_150BEGINNG_27" localSheetId="8">GMIC_22A_SCDPT5!$AC$54</definedName>
    <definedName name="SCDPT5_150BEGINNG_3" localSheetId="8">GMIC_22A_SCDPT5!$E$54</definedName>
    <definedName name="SCDPT5_150BEGINNG_4" localSheetId="8">GMIC_22A_SCDPT5!$F$54</definedName>
    <definedName name="SCDPT5_150BEGINNG_5" localSheetId="8">GMIC_22A_SCDPT5!$G$54</definedName>
    <definedName name="SCDPT5_150BEGINNG_6" localSheetId="8">GMIC_22A_SCDPT5!$H$54</definedName>
    <definedName name="SCDPT5_150BEGINNG_7" localSheetId="8">GMIC_22A_SCDPT5!$I$54</definedName>
    <definedName name="SCDPT5_150BEGINNG_8" localSheetId="8">GMIC_22A_SCDPT5!$J$54</definedName>
    <definedName name="SCDPT5_150BEGINNG_9" localSheetId="8">GMIC_22A_SCDPT5!$K$54</definedName>
    <definedName name="SCDPT5_150ENDINGG_10" localSheetId="8">GMIC_22A_SCDPT5!$L$56</definedName>
    <definedName name="SCDPT5_150ENDINGG_11" localSheetId="8">GMIC_22A_SCDPT5!$M$56</definedName>
    <definedName name="SCDPT5_150ENDINGG_12" localSheetId="8">GMIC_22A_SCDPT5!$N$56</definedName>
    <definedName name="SCDPT5_150ENDINGG_13" localSheetId="8">GMIC_22A_SCDPT5!$O$56</definedName>
    <definedName name="SCDPT5_150ENDINGG_14" localSheetId="8">GMIC_22A_SCDPT5!$P$56</definedName>
    <definedName name="SCDPT5_150ENDINGG_15" localSheetId="8">GMIC_22A_SCDPT5!$Q$56</definedName>
    <definedName name="SCDPT5_150ENDINGG_16" localSheetId="8">GMIC_22A_SCDPT5!$R$56</definedName>
    <definedName name="SCDPT5_150ENDINGG_17" localSheetId="8">GMIC_22A_SCDPT5!$S$56</definedName>
    <definedName name="SCDPT5_150ENDINGG_18" localSheetId="8">GMIC_22A_SCDPT5!$T$56</definedName>
    <definedName name="SCDPT5_150ENDINGG_19" localSheetId="8">GMIC_22A_SCDPT5!$U$56</definedName>
    <definedName name="SCDPT5_150ENDINGG_2" localSheetId="8">GMIC_22A_SCDPT5!$D$56</definedName>
    <definedName name="SCDPT5_150ENDINGG_20" localSheetId="8">GMIC_22A_SCDPT5!$V$56</definedName>
    <definedName name="SCDPT5_150ENDINGG_21" localSheetId="8">GMIC_22A_SCDPT5!$W$56</definedName>
    <definedName name="SCDPT5_150ENDINGG_22" localSheetId="8">GMIC_22A_SCDPT5!$X$56</definedName>
    <definedName name="SCDPT5_150ENDINGG_23" localSheetId="8">GMIC_22A_SCDPT5!$Y$56</definedName>
    <definedName name="SCDPT5_150ENDINGG_24" localSheetId="8">GMIC_22A_SCDPT5!$Z$56</definedName>
    <definedName name="SCDPT5_150ENDINGG_25" localSheetId="8">GMIC_22A_SCDPT5!$AA$56</definedName>
    <definedName name="SCDPT5_150ENDINGG_26" localSheetId="8">GMIC_22A_SCDPT5!$AB$56</definedName>
    <definedName name="SCDPT5_150ENDINGG_27" localSheetId="8">GMIC_22A_SCDPT5!$AC$56</definedName>
    <definedName name="SCDPT5_150ENDINGG_3" localSheetId="8">GMIC_22A_SCDPT5!$E$56</definedName>
    <definedName name="SCDPT5_150ENDINGG_4" localSheetId="8">GMIC_22A_SCDPT5!$F$56</definedName>
    <definedName name="SCDPT5_150ENDINGG_5" localSheetId="8">GMIC_22A_SCDPT5!$G$56</definedName>
    <definedName name="SCDPT5_150ENDINGG_6" localSheetId="8">GMIC_22A_SCDPT5!$H$56</definedName>
    <definedName name="SCDPT5_150ENDINGG_7" localSheetId="8">GMIC_22A_SCDPT5!$I$56</definedName>
    <definedName name="SCDPT5_150ENDINGG_8" localSheetId="8">GMIC_22A_SCDPT5!$J$56</definedName>
    <definedName name="SCDPT5_150ENDINGG_9" localSheetId="8">GMIC_22A_SCDPT5!$K$56</definedName>
    <definedName name="SCDPT5_1610000000_Range" localSheetId="8">GMIC_22A_SCDPT5!$B$58:$AC$60</definedName>
    <definedName name="SCDPT5_1619999999_10" localSheetId="8">GMIC_22A_SCDPT5!$L$61</definedName>
    <definedName name="SCDPT5_1619999999_11" localSheetId="8">GMIC_22A_SCDPT5!$M$61</definedName>
    <definedName name="SCDPT5_1619999999_12" localSheetId="8">GMIC_22A_SCDPT5!$N$61</definedName>
    <definedName name="SCDPT5_1619999999_13" localSheetId="8">GMIC_22A_SCDPT5!$O$61</definedName>
    <definedName name="SCDPT5_1619999999_14" localSheetId="8">GMIC_22A_SCDPT5!$P$61</definedName>
    <definedName name="SCDPT5_1619999999_15" localSheetId="8">GMIC_22A_SCDPT5!$Q$61</definedName>
    <definedName name="SCDPT5_1619999999_16" localSheetId="8">GMIC_22A_SCDPT5!$R$61</definedName>
    <definedName name="SCDPT5_1619999999_17" localSheetId="8">GMIC_22A_SCDPT5!$S$61</definedName>
    <definedName name="SCDPT5_1619999999_18" localSheetId="8">GMIC_22A_SCDPT5!$T$61</definedName>
    <definedName name="SCDPT5_1619999999_19" localSheetId="8">GMIC_22A_SCDPT5!$U$61</definedName>
    <definedName name="SCDPT5_1619999999_20" localSheetId="8">GMIC_22A_SCDPT5!$V$61</definedName>
    <definedName name="SCDPT5_1619999999_21" localSheetId="8">GMIC_22A_SCDPT5!$W$61</definedName>
    <definedName name="SCDPT5_1619999999_9" localSheetId="8">GMIC_22A_SCDPT5!$K$61</definedName>
    <definedName name="SCDPT5_161BEGINNG_1" localSheetId="8">GMIC_22A_SCDPT5!$C$58</definedName>
    <definedName name="SCDPT5_161BEGINNG_10" localSheetId="8">GMIC_22A_SCDPT5!$L$58</definedName>
    <definedName name="SCDPT5_161BEGINNG_11" localSheetId="8">GMIC_22A_SCDPT5!$M$58</definedName>
    <definedName name="SCDPT5_161BEGINNG_12" localSheetId="8">GMIC_22A_SCDPT5!$N$58</definedName>
    <definedName name="SCDPT5_161BEGINNG_13" localSheetId="8">GMIC_22A_SCDPT5!$O$58</definedName>
    <definedName name="SCDPT5_161BEGINNG_14" localSheetId="8">GMIC_22A_SCDPT5!$P$58</definedName>
    <definedName name="SCDPT5_161BEGINNG_15" localSheetId="8">GMIC_22A_SCDPT5!$Q$58</definedName>
    <definedName name="SCDPT5_161BEGINNG_16" localSheetId="8">GMIC_22A_SCDPT5!$R$58</definedName>
    <definedName name="SCDPT5_161BEGINNG_17" localSheetId="8">GMIC_22A_SCDPT5!$S$58</definedName>
    <definedName name="SCDPT5_161BEGINNG_18" localSheetId="8">GMIC_22A_SCDPT5!$T$58</definedName>
    <definedName name="SCDPT5_161BEGINNG_19" localSheetId="8">GMIC_22A_SCDPT5!$U$58</definedName>
    <definedName name="SCDPT5_161BEGINNG_2" localSheetId="8">GMIC_22A_SCDPT5!$D$58</definedName>
    <definedName name="SCDPT5_161BEGINNG_20" localSheetId="8">GMIC_22A_SCDPT5!$V$58</definedName>
    <definedName name="SCDPT5_161BEGINNG_21" localSheetId="8">GMIC_22A_SCDPT5!$W$58</definedName>
    <definedName name="SCDPT5_161BEGINNG_22" localSheetId="8">GMIC_22A_SCDPT5!$X$58</definedName>
    <definedName name="SCDPT5_161BEGINNG_23" localSheetId="8">GMIC_22A_SCDPT5!$Y$58</definedName>
    <definedName name="SCDPT5_161BEGINNG_24" localSheetId="8">GMIC_22A_SCDPT5!$Z$58</definedName>
    <definedName name="SCDPT5_161BEGINNG_25" localSheetId="8">GMIC_22A_SCDPT5!$AA$58</definedName>
    <definedName name="SCDPT5_161BEGINNG_26" localSheetId="8">GMIC_22A_SCDPT5!$AB$58</definedName>
    <definedName name="SCDPT5_161BEGINNG_27" localSheetId="8">GMIC_22A_SCDPT5!$AC$58</definedName>
    <definedName name="SCDPT5_161BEGINNG_3" localSheetId="8">GMIC_22A_SCDPT5!$E$58</definedName>
    <definedName name="SCDPT5_161BEGINNG_4" localSheetId="8">GMIC_22A_SCDPT5!$F$58</definedName>
    <definedName name="SCDPT5_161BEGINNG_5" localSheetId="8">GMIC_22A_SCDPT5!$G$58</definedName>
    <definedName name="SCDPT5_161BEGINNG_6" localSheetId="8">GMIC_22A_SCDPT5!$H$58</definedName>
    <definedName name="SCDPT5_161BEGINNG_7" localSheetId="8">GMIC_22A_SCDPT5!$I$58</definedName>
    <definedName name="SCDPT5_161BEGINNG_8" localSheetId="8">GMIC_22A_SCDPT5!$J$58</definedName>
    <definedName name="SCDPT5_161BEGINNG_9" localSheetId="8">GMIC_22A_SCDPT5!$K$58</definedName>
    <definedName name="SCDPT5_161ENDINGG_10" localSheetId="8">GMIC_22A_SCDPT5!$L$60</definedName>
    <definedName name="SCDPT5_161ENDINGG_11" localSheetId="8">GMIC_22A_SCDPT5!$M$60</definedName>
    <definedName name="SCDPT5_161ENDINGG_12" localSheetId="8">GMIC_22A_SCDPT5!$N$60</definedName>
    <definedName name="SCDPT5_161ENDINGG_13" localSheetId="8">GMIC_22A_SCDPT5!$O$60</definedName>
    <definedName name="SCDPT5_161ENDINGG_14" localSheetId="8">GMIC_22A_SCDPT5!$P$60</definedName>
    <definedName name="SCDPT5_161ENDINGG_15" localSheetId="8">GMIC_22A_SCDPT5!$Q$60</definedName>
    <definedName name="SCDPT5_161ENDINGG_16" localSheetId="8">GMIC_22A_SCDPT5!$R$60</definedName>
    <definedName name="SCDPT5_161ENDINGG_17" localSheetId="8">GMIC_22A_SCDPT5!$S$60</definedName>
    <definedName name="SCDPT5_161ENDINGG_18" localSheetId="8">GMIC_22A_SCDPT5!$T$60</definedName>
    <definedName name="SCDPT5_161ENDINGG_19" localSheetId="8">GMIC_22A_SCDPT5!$U$60</definedName>
    <definedName name="SCDPT5_161ENDINGG_2" localSheetId="8">GMIC_22A_SCDPT5!$D$60</definedName>
    <definedName name="SCDPT5_161ENDINGG_20" localSheetId="8">GMIC_22A_SCDPT5!$V$60</definedName>
    <definedName name="SCDPT5_161ENDINGG_21" localSheetId="8">GMIC_22A_SCDPT5!$W$60</definedName>
    <definedName name="SCDPT5_161ENDINGG_22" localSheetId="8">GMIC_22A_SCDPT5!$X$60</definedName>
    <definedName name="SCDPT5_161ENDINGG_23" localSheetId="8">GMIC_22A_SCDPT5!$Y$60</definedName>
    <definedName name="SCDPT5_161ENDINGG_24" localSheetId="8">GMIC_22A_SCDPT5!$Z$60</definedName>
    <definedName name="SCDPT5_161ENDINGG_25" localSheetId="8">GMIC_22A_SCDPT5!$AA$60</definedName>
    <definedName name="SCDPT5_161ENDINGG_26" localSheetId="8">GMIC_22A_SCDPT5!$AB$60</definedName>
    <definedName name="SCDPT5_161ENDINGG_27" localSheetId="8">GMIC_22A_SCDPT5!$AC$60</definedName>
    <definedName name="SCDPT5_161ENDINGG_3" localSheetId="8">GMIC_22A_SCDPT5!$E$60</definedName>
    <definedName name="SCDPT5_161ENDINGG_4" localSheetId="8">GMIC_22A_SCDPT5!$F$60</definedName>
    <definedName name="SCDPT5_161ENDINGG_5" localSheetId="8">GMIC_22A_SCDPT5!$G$60</definedName>
    <definedName name="SCDPT5_161ENDINGG_6" localSheetId="8">GMIC_22A_SCDPT5!$H$60</definedName>
    <definedName name="SCDPT5_161ENDINGG_7" localSheetId="8">GMIC_22A_SCDPT5!$I$60</definedName>
    <definedName name="SCDPT5_161ENDINGG_8" localSheetId="8">GMIC_22A_SCDPT5!$J$60</definedName>
    <definedName name="SCDPT5_161ENDINGG_9" localSheetId="8">GMIC_22A_SCDPT5!$K$60</definedName>
    <definedName name="SCDPT5_1900000000_Range" localSheetId="8">GMIC_22A_SCDPT5!$B$62:$AC$64</definedName>
    <definedName name="SCDPT5_1909999999_10" localSheetId="8">GMIC_22A_SCDPT5!$L$65</definedName>
    <definedName name="SCDPT5_1909999999_11" localSheetId="8">GMIC_22A_SCDPT5!$M$65</definedName>
    <definedName name="SCDPT5_1909999999_12" localSheetId="8">GMIC_22A_SCDPT5!$N$65</definedName>
    <definedName name="SCDPT5_1909999999_13" localSheetId="8">GMIC_22A_SCDPT5!$O$65</definedName>
    <definedName name="SCDPT5_1909999999_14" localSheetId="8">GMIC_22A_SCDPT5!$P$65</definedName>
    <definedName name="SCDPT5_1909999999_15" localSheetId="8">GMIC_22A_SCDPT5!$Q$65</definedName>
    <definedName name="SCDPT5_1909999999_16" localSheetId="8">GMIC_22A_SCDPT5!$R$65</definedName>
    <definedName name="SCDPT5_1909999999_17" localSheetId="8">GMIC_22A_SCDPT5!$S$65</definedName>
    <definedName name="SCDPT5_1909999999_18" localSheetId="8">GMIC_22A_SCDPT5!$T$65</definedName>
    <definedName name="SCDPT5_1909999999_19" localSheetId="8">GMIC_22A_SCDPT5!$U$65</definedName>
    <definedName name="SCDPT5_1909999999_20" localSheetId="8">GMIC_22A_SCDPT5!$V$65</definedName>
    <definedName name="SCDPT5_1909999999_21" localSheetId="8">GMIC_22A_SCDPT5!$W$65</definedName>
    <definedName name="SCDPT5_1909999999_8" localSheetId="8">GMIC_22A_SCDPT5!$J$65</definedName>
    <definedName name="SCDPT5_1909999999_9" localSheetId="8">GMIC_22A_SCDPT5!$K$65</definedName>
    <definedName name="SCDPT5_190BEGINNG_1" localSheetId="8">GMIC_22A_SCDPT5!$C$62</definedName>
    <definedName name="SCDPT5_190BEGINNG_10" localSheetId="8">GMIC_22A_SCDPT5!$L$62</definedName>
    <definedName name="SCDPT5_190BEGINNG_11" localSheetId="8">GMIC_22A_SCDPT5!$M$62</definedName>
    <definedName name="SCDPT5_190BEGINNG_12" localSheetId="8">GMIC_22A_SCDPT5!$N$62</definedName>
    <definedName name="SCDPT5_190BEGINNG_13" localSheetId="8">GMIC_22A_SCDPT5!$O$62</definedName>
    <definedName name="SCDPT5_190BEGINNG_14" localSheetId="8">GMIC_22A_SCDPT5!$P$62</definedName>
    <definedName name="SCDPT5_190BEGINNG_15" localSheetId="8">GMIC_22A_SCDPT5!$Q$62</definedName>
    <definedName name="SCDPT5_190BEGINNG_16" localSheetId="8">GMIC_22A_SCDPT5!$R$62</definedName>
    <definedName name="SCDPT5_190BEGINNG_17" localSheetId="8">GMIC_22A_SCDPT5!$S$62</definedName>
    <definedName name="SCDPT5_190BEGINNG_18" localSheetId="8">GMIC_22A_SCDPT5!$T$62</definedName>
    <definedName name="SCDPT5_190BEGINNG_19" localSheetId="8">GMIC_22A_SCDPT5!$U$62</definedName>
    <definedName name="SCDPT5_190BEGINNG_2" localSheetId="8">GMIC_22A_SCDPT5!$D$62</definedName>
    <definedName name="SCDPT5_190BEGINNG_20" localSheetId="8">GMIC_22A_SCDPT5!$V$62</definedName>
    <definedName name="SCDPT5_190BEGINNG_21" localSheetId="8">GMIC_22A_SCDPT5!$W$62</definedName>
    <definedName name="SCDPT5_190BEGINNG_22" localSheetId="8">GMIC_22A_SCDPT5!$X$62</definedName>
    <definedName name="SCDPT5_190BEGINNG_23" localSheetId="8">GMIC_22A_SCDPT5!$Y$62</definedName>
    <definedName name="SCDPT5_190BEGINNG_24" localSheetId="8">GMIC_22A_SCDPT5!$Z$62</definedName>
    <definedName name="SCDPT5_190BEGINNG_25" localSheetId="8">GMIC_22A_SCDPT5!$AA$62</definedName>
    <definedName name="SCDPT5_190BEGINNG_26" localSheetId="8">GMIC_22A_SCDPT5!$AB$62</definedName>
    <definedName name="SCDPT5_190BEGINNG_27" localSheetId="8">GMIC_22A_SCDPT5!$AC$62</definedName>
    <definedName name="SCDPT5_190BEGINNG_3" localSheetId="8">GMIC_22A_SCDPT5!$E$62</definedName>
    <definedName name="SCDPT5_190BEGINNG_4" localSheetId="8">GMIC_22A_SCDPT5!$F$62</definedName>
    <definedName name="SCDPT5_190BEGINNG_5" localSheetId="8">GMIC_22A_SCDPT5!$G$62</definedName>
    <definedName name="SCDPT5_190BEGINNG_6" localSheetId="8">GMIC_22A_SCDPT5!$H$62</definedName>
    <definedName name="SCDPT5_190BEGINNG_7" localSheetId="8">GMIC_22A_SCDPT5!$I$62</definedName>
    <definedName name="SCDPT5_190BEGINNG_8" localSheetId="8">GMIC_22A_SCDPT5!$J$62</definedName>
    <definedName name="SCDPT5_190BEGINNG_9" localSheetId="8">GMIC_22A_SCDPT5!$K$62</definedName>
    <definedName name="SCDPT5_190ENDINGG_10" localSheetId="8">GMIC_22A_SCDPT5!$L$64</definedName>
    <definedName name="SCDPT5_190ENDINGG_11" localSheetId="8">GMIC_22A_SCDPT5!$M$64</definedName>
    <definedName name="SCDPT5_190ENDINGG_12" localSheetId="8">GMIC_22A_SCDPT5!$N$64</definedName>
    <definedName name="SCDPT5_190ENDINGG_13" localSheetId="8">GMIC_22A_SCDPT5!$O$64</definedName>
    <definedName name="SCDPT5_190ENDINGG_14" localSheetId="8">GMIC_22A_SCDPT5!$P$64</definedName>
    <definedName name="SCDPT5_190ENDINGG_15" localSheetId="8">GMIC_22A_SCDPT5!$Q$64</definedName>
    <definedName name="SCDPT5_190ENDINGG_16" localSheetId="8">GMIC_22A_SCDPT5!$R$64</definedName>
    <definedName name="SCDPT5_190ENDINGG_17" localSheetId="8">GMIC_22A_SCDPT5!$S$64</definedName>
    <definedName name="SCDPT5_190ENDINGG_18" localSheetId="8">GMIC_22A_SCDPT5!$T$64</definedName>
    <definedName name="SCDPT5_190ENDINGG_19" localSheetId="8">GMIC_22A_SCDPT5!$U$64</definedName>
    <definedName name="SCDPT5_190ENDINGG_2" localSheetId="8">GMIC_22A_SCDPT5!$D$64</definedName>
    <definedName name="SCDPT5_190ENDINGG_20" localSheetId="8">GMIC_22A_SCDPT5!$V$64</definedName>
    <definedName name="SCDPT5_190ENDINGG_21" localSheetId="8">GMIC_22A_SCDPT5!$W$64</definedName>
    <definedName name="SCDPT5_190ENDINGG_22" localSheetId="8">GMIC_22A_SCDPT5!$X$64</definedName>
    <definedName name="SCDPT5_190ENDINGG_23" localSheetId="8">GMIC_22A_SCDPT5!$Y$64</definedName>
    <definedName name="SCDPT5_190ENDINGG_24" localSheetId="8">GMIC_22A_SCDPT5!$Z$64</definedName>
    <definedName name="SCDPT5_190ENDINGG_25" localSheetId="8">GMIC_22A_SCDPT5!$AA$64</definedName>
    <definedName name="SCDPT5_190ENDINGG_26" localSheetId="8">GMIC_22A_SCDPT5!$AB$64</definedName>
    <definedName name="SCDPT5_190ENDINGG_27" localSheetId="8">GMIC_22A_SCDPT5!$AC$64</definedName>
    <definedName name="SCDPT5_190ENDINGG_3" localSheetId="8">GMIC_22A_SCDPT5!$E$64</definedName>
    <definedName name="SCDPT5_190ENDINGG_4" localSheetId="8">GMIC_22A_SCDPT5!$F$64</definedName>
    <definedName name="SCDPT5_190ENDINGG_5" localSheetId="8">GMIC_22A_SCDPT5!$G$64</definedName>
    <definedName name="SCDPT5_190ENDINGG_6" localSheetId="8">GMIC_22A_SCDPT5!$H$64</definedName>
    <definedName name="SCDPT5_190ENDINGG_7" localSheetId="8">GMIC_22A_SCDPT5!$I$64</definedName>
    <definedName name="SCDPT5_190ENDINGG_8" localSheetId="8">GMIC_22A_SCDPT5!$J$64</definedName>
    <definedName name="SCDPT5_190ENDINGG_9" localSheetId="8">GMIC_22A_SCDPT5!$K$64</definedName>
    <definedName name="SCDPT5_2010000000_Range" localSheetId="8">GMIC_22A_SCDPT5!$B$66:$AC$68</definedName>
    <definedName name="SCDPT5_2019999999_10" localSheetId="8">GMIC_22A_SCDPT5!$L$69</definedName>
    <definedName name="SCDPT5_2019999999_11" localSheetId="8">GMIC_22A_SCDPT5!$M$69</definedName>
    <definedName name="SCDPT5_2019999999_12" localSheetId="8">GMIC_22A_SCDPT5!$N$69</definedName>
    <definedName name="SCDPT5_2019999999_13" localSheetId="8">GMIC_22A_SCDPT5!$O$69</definedName>
    <definedName name="SCDPT5_2019999999_14" localSheetId="8">GMIC_22A_SCDPT5!$P$69</definedName>
    <definedName name="SCDPT5_2019999999_15" localSheetId="8">GMIC_22A_SCDPT5!$Q$69</definedName>
    <definedName name="SCDPT5_2019999999_16" localSheetId="8">GMIC_22A_SCDPT5!$R$69</definedName>
    <definedName name="SCDPT5_2019999999_17" localSheetId="8">GMIC_22A_SCDPT5!$S$69</definedName>
    <definedName name="SCDPT5_2019999999_18" localSheetId="8">GMIC_22A_SCDPT5!$T$69</definedName>
    <definedName name="SCDPT5_2019999999_19" localSheetId="8">GMIC_22A_SCDPT5!$U$69</definedName>
    <definedName name="SCDPT5_2019999999_20" localSheetId="8">GMIC_22A_SCDPT5!$V$69</definedName>
    <definedName name="SCDPT5_2019999999_21" localSheetId="8">GMIC_22A_SCDPT5!$W$69</definedName>
    <definedName name="SCDPT5_2019999999_8" localSheetId="8">GMIC_22A_SCDPT5!$J$69</definedName>
    <definedName name="SCDPT5_2019999999_9" localSheetId="8">GMIC_22A_SCDPT5!$K$69</definedName>
    <definedName name="SCDPT5_201BEGINNG_1" localSheetId="8">GMIC_22A_SCDPT5!$C$66</definedName>
    <definedName name="SCDPT5_201BEGINNG_10" localSheetId="8">GMIC_22A_SCDPT5!$L$66</definedName>
    <definedName name="SCDPT5_201BEGINNG_11" localSheetId="8">GMIC_22A_SCDPT5!$M$66</definedName>
    <definedName name="SCDPT5_201BEGINNG_12" localSheetId="8">GMIC_22A_SCDPT5!$N$66</definedName>
    <definedName name="SCDPT5_201BEGINNG_13" localSheetId="8">GMIC_22A_SCDPT5!$O$66</definedName>
    <definedName name="SCDPT5_201BEGINNG_14" localSheetId="8">GMIC_22A_SCDPT5!$P$66</definedName>
    <definedName name="SCDPT5_201BEGINNG_15" localSheetId="8">GMIC_22A_SCDPT5!$Q$66</definedName>
    <definedName name="SCDPT5_201BEGINNG_16" localSheetId="8">GMIC_22A_SCDPT5!$R$66</definedName>
    <definedName name="SCDPT5_201BEGINNG_17" localSheetId="8">GMIC_22A_SCDPT5!$S$66</definedName>
    <definedName name="SCDPT5_201BEGINNG_18" localSheetId="8">GMIC_22A_SCDPT5!$T$66</definedName>
    <definedName name="SCDPT5_201BEGINNG_19" localSheetId="8">GMIC_22A_SCDPT5!$U$66</definedName>
    <definedName name="SCDPT5_201BEGINNG_2" localSheetId="8">GMIC_22A_SCDPT5!$D$66</definedName>
    <definedName name="SCDPT5_201BEGINNG_20" localSheetId="8">GMIC_22A_SCDPT5!$V$66</definedName>
    <definedName name="SCDPT5_201BEGINNG_21" localSheetId="8">GMIC_22A_SCDPT5!$W$66</definedName>
    <definedName name="SCDPT5_201BEGINNG_22" localSheetId="8">GMIC_22A_SCDPT5!$X$66</definedName>
    <definedName name="SCDPT5_201BEGINNG_23" localSheetId="8">GMIC_22A_SCDPT5!$Y$66</definedName>
    <definedName name="SCDPT5_201BEGINNG_24" localSheetId="8">GMIC_22A_SCDPT5!$Z$66</definedName>
    <definedName name="SCDPT5_201BEGINNG_25" localSheetId="8">GMIC_22A_SCDPT5!$AA$66</definedName>
    <definedName name="SCDPT5_201BEGINNG_26" localSheetId="8">GMIC_22A_SCDPT5!$AB$66</definedName>
    <definedName name="SCDPT5_201BEGINNG_27" localSheetId="8">GMIC_22A_SCDPT5!$AC$66</definedName>
    <definedName name="SCDPT5_201BEGINNG_3" localSheetId="8">GMIC_22A_SCDPT5!$E$66</definedName>
    <definedName name="SCDPT5_201BEGINNG_4" localSheetId="8">GMIC_22A_SCDPT5!$F$66</definedName>
    <definedName name="SCDPT5_201BEGINNG_5" localSheetId="8">GMIC_22A_SCDPT5!$G$66</definedName>
    <definedName name="SCDPT5_201BEGINNG_6" localSheetId="8">GMIC_22A_SCDPT5!$H$66</definedName>
    <definedName name="SCDPT5_201BEGINNG_7" localSheetId="8">GMIC_22A_SCDPT5!$I$66</definedName>
    <definedName name="SCDPT5_201BEGINNG_8" localSheetId="8">GMIC_22A_SCDPT5!$J$66</definedName>
    <definedName name="SCDPT5_201BEGINNG_9" localSheetId="8">GMIC_22A_SCDPT5!$K$66</definedName>
    <definedName name="SCDPT5_201ENDINGG_10" localSheetId="8">GMIC_22A_SCDPT5!$L$68</definedName>
    <definedName name="SCDPT5_201ENDINGG_11" localSheetId="8">GMIC_22A_SCDPT5!$M$68</definedName>
    <definedName name="SCDPT5_201ENDINGG_12" localSheetId="8">GMIC_22A_SCDPT5!$N$68</definedName>
    <definedName name="SCDPT5_201ENDINGG_13" localSheetId="8">GMIC_22A_SCDPT5!$O$68</definedName>
    <definedName name="SCDPT5_201ENDINGG_14" localSheetId="8">GMIC_22A_SCDPT5!$P$68</definedName>
    <definedName name="SCDPT5_201ENDINGG_15" localSheetId="8">GMIC_22A_SCDPT5!$Q$68</definedName>
    <definedName name="SCDPT5_201ENDINGG_16" localSheetId="8">GMIC_22A_SCDPT5!$R$68</definedName>
    <definedName name="SCDPT5_201ENDINGG_17" localSheetId="8">GMIC_22A_SCDPT5!$S$68</definedName>
    <definedName name="SCDPT5_201ENDINGG_18" localSheetId="8">GMIC_22A_SCDPT5!$T$68</definedName>
    <definedName name="SCDPT5_201ENDINGG_19" localSheetId="8">GMIC_22A_SCDPT5!$U$68</definedName>
    <definedName name="SCDPT5_201ENDINGG_2" localSheetId="8">GMIC_22A_SCDPT5!$D$68</definedName>
    <definedName name="SCDPT5_201ENDINGG_20" localSheetId="8">GMIC_22A_SCDPT5!$V$68</definedName>
    <definedName name="SCDPT5_201ENDINGG_21" localSheetId="8">GMIC_22A_SCDPT5!$W$68</definedName>
    <definedName name="SCDPT5_201ENDINGG_22" localSheetId="8">GMIC_22A_SCDPT5!$X$68</definedName>
    <definedName name="SCDPT5_201ENDINGG_23" localSheetId="8">GMIC_22A_SCDPT5!$Y$68</definedName>
    <definedName name="SCDPT5_201ENDINGG_24" localSheetId="8">GMIC_22A_SCDPT5!$Z$68</definedName>
    <definedName name="SCDPT5_201ENDINGG_25" localSheetId="8">GMIC_22A_SCDPT5!$AA$68</definedName>
    <definedName name="SCDPT5_201ENDINGG_26" localSheetId="8">GMIC_22A_SCDPT5!$AB$68</definedName>
    <definedName name="SCDPT5_201ENDINGG_27" localSheetId="8">GMIC_22A_SCDPT5!$AC$68</definedName>
    <definedName name="SCDPT5_201ENDINGG_3" localSheetId="8">GMIC_22A_SCDPT5!$E$68</definedName>
    <definedName name="SCDPT5_201ENDINGG_4" localSheetId="8">GMIC_22A_SCDPT5!$F$68</definedName>
    <definedName name="SCDPT5_201ENDINGG_5" localSheetId="8">GMIC_22A_SCDPT5!$G$68</definedName>
    <definedName name="SCDPT5_201ENDINGG_6" localSheetId="8">GMIC_22A_SCDPT5!$H$68</definedName>
    <definedName name="SCDPT5_201ENDINGG_7" localSheetId="8">GMIC_22A_SCDPT5!$I$68</definedName>
    <definedName name="SCDPT5_201ENDINGG_8" localSheetId="8">GMIC_22A_SCDPT5!$J$68</definedName>
    <definedName name="SCDPT5_201ENDINGG_9" localSheetId="8">GMIC_22A_SCDPT5!$K$68</definedName>
    <definedName name="SCDPT5_2509999998_10" localSheetId="8">GMIC_22A_SCDPT5!$L$70</definedName>
    <definedName name="SCDPT5_2509999998_11" localSheetId="8">GMIC_22A_SCDPT5!$M$70</definedName>
    <definedName name="SCDPT5_2509999998_12" localSheetId="8">GMIC_22A_SCDPT5!$N$70</definedName>
    <definedName name="SCDPT5_2509999998_13" localSheetId="8">GMIC_22A_SCDPT5!$O$70</definedName>
    <definedName name="SCDPT5_2509999998_14" localSheetId="8">GMIC_22A_SCDPT5!$P$70</definedName>
    <definedName name="SCDPT5_2509999998_15" localSheetId="8">GMIC_22A_SCDPT5!$Q$70</definedName>
    <definedName name="SCDPT5_2509999998_16" localSheetId="8">GMIC_22A_SCDPT5!$R$70</definedName>
    <definedName name="SCDPT5_2509999998_17" localSheetId="8">GMIC_22A_SCDPT5!$S$70</definedName>
    <definedName name="SCDPT5_2509999998_18" localSheetId="8">GMIC_22A_SCDPT5!$T$70</definedName>
    <definedName name="SCDPT5_2509999998_19" localSheetId="8">GMIC_22A_SCDPT5!$U$70</definedName>
    <definedName name="SCDPT5_2509999998_20" localSheetId="8">GMIC_22A_SCDPT5!$V$70</definedName>
    <definedName name="SCDPT5_2509999998_21" localSheetId="8">GMIC_22A_SCDPT5!$W$70</definedName>
    <definedName name="SCDPT5_2509999998_8" localSheetId="8">GMIC_22A_SCDPT5!$J$70</definedName>
    <definedName name="SCDPT5_2509999998_9" localSheetId="8">GMIC_22A_SCDPT5!$K$70</definedName>
    <definedName name="SCDPT5_4010000000_Range" localSheetId="8">GMIC_22A_SCDPT5!$B$71:$AC$73</definedName>
    <definedName name="SCDPT5_4019999999_10" localSheetId="8">GMIC_22A_SCDPT5!$L$74</definedName>
    <definedName name="SCDPT5_4019999999_11" localSheetId="8">GMIC_22A_SCDPT5!$M$74</definedName>
    <definedName name="SCDPT5_4019999999_12" localSheetId="8">GMIC_22A_SCDPT5!$N$74</definedName>
    <definedName name="SCDPT5_4019999999_13" localSheetId="8">GMIC_22A_SCDPT5!$O$74</definedName>
    <definedName name="SCDPT5_4019999999_14" localSheetId="8">GMIC_22A_SCDPT5!$P$74</definedName>
    <definedName name="SCDPT5_4019999999_15" localSheetId="8">GMIC_22A_SCDPT5!$Q$74</definedName>
    <definedName name="SCDPT5_4019999999_16" localSheetId="8">GMIC_22A_SCDPT5!$R$74</definedName>
    <definedName name="SCDPT5_4019999999_17" localSheetId="8">GMIC_22A_SCDPT5!$S$74</definedName>
    <definedName name="SCDPT5_4019999999_18" localSheetId="8">GMIC_22A_SCDPT5!$T$74</definedName>
    <definedName name="SCDPT5_4019999999_19" localSheetId="8">GMIC_22A_SCDPT5!$U$74</definedName>
    <definedName name="SCDPT5_4019999999_20" localSheetId="8">GMIC_22A_SCDPT5!$V$74</definedName>
    <definedName name="SCDPT5_4019999999_21" localSheetId="8">GMIC_22A_SCDPT5!$W$74</definedName>
    <definedName name="SCDPT5_4019999999_9" localSheetId="8">GMIC_22A_SCDPT5!$K$74</definedName>
    <definedName name="SCDPT5_401BEGINNG_1" localSheetId="8">GMIC_22A_SCDPT5!$C$71</definedName>
    <definedName name="SCDPT5_401BEGINNG_10" localSheetId="8">GMIC_22A_SCDPT5!$L$71</definedName>
    <definedName name="SCDPT5_401BEGINNG_11" localSheetId="8">GMIC_22A_SCDPT5!$M$71</definedName>
    <definedName name="SCDPT5_401BEGINNG_12" localSheetId="8">GMIC_22A_SCDPT5!$N$71</definedName>
    <definedName name="SCDPT5_401BEGINNG_13" localSheetId="8">GMIC_22A_SCDPT5!$O$71</definedName>
    <definedName name="SCDPT5_401BEGINNG_14" localSheetId="8">GMIC_22A_SCDPT5!$P$71</definedName>
    <definedName name="SCDPT5_401BEGINNG_15" localSheetId="8">GMIC_22A_SCDPT5!$Q$71</definedName>
    <definedName name="SCDPT5_401BEGINNG_16" localSheetId="8">GMIC_22A_SCDPT5!$R$71</definedName>
    <definedName name="SCDPT5_401BEGINNG_17" localSheetId="8">GMIC_22A_SCDPT5!$S$71</definedName>
    <definedName name="SCDPT5_401BEGINNG_18" localSheetId="8">GMIC_22A_SCDPT5!$T$71</definedName>
    <definedName name="SCDPT5_401BEGINNG_19" localSheetId="8">GMIC_22A_SCDPT5!$U$71</definedName>
    <definedName name="SCDPT5_401BEGINNG_2" localSheetId="8">GMIC_22A_SCDPT5!$D$71</definedName>
    <definedName name="SCDPT5_401BEGINNG_20" localSheetId="8">GMIC_22A_SCDPT5!$V$71</definedName>
    <definedName name="SCDPT5_401BEGINNG_21" localSheetId="8">GMIC_22A_SCDPT5!$W$71</definedName>
    <definedName name="SCDPT5_401BEGINNG_22" localSheetId="8">GMIC_22A_SCDPT5!$X$71</definedName>
    <definedName name="SCDPT5_401BEGINNG_23" localSheetId="8">GMIC_22A_SCDPT5!$Y$71</definedName>
    <definedName name="SCDPT5_401BEGINNG_24" localSheetId="8">GMIC_22A_SCDPT5!$Z$71</definedName>
    <definedName name="SCDPT5_401BEGINNG_25" localSheetId="8">GMIC_22A_SCDPT5!$AA$71</definedName>
    <definedName name="SCDPT5_401BEGINNG_26" localSheetId="8">GMIC_22A_SCDPT5!$AB$71</definedName>
    <definedName name="SCDPT5_401BEGINNG_27" localSheetId="8">GMIC_22A_SCDPT5!$AC$71</definedName>
    <definedName name="SCDPT5_401BEGINNG_3" localSheetId="8">GMIC_22A_SCDPT5!$E$71</definedName>
    <definedName name="SCDPT5_401BEGINNG_4" localSheetId="8">GMIC_22A_SCDPT5!$F$71</definedName>
    <definedName name="SCDPT5_401BEGINNG_5" localSheetId="8">GMIC_22A_SCDPT5!$G$71</definedName>
    <definedName name="SCDPT5_401BEGINNG_6" localSheetId="8">GMIC_22A_SCDPT5!$H$71</definedName>
    <definedName name="SCDPT5_401BEGINNG_7" localSheetId="8">GMIC_22A_SCDPT5!$I$71</definedName>
    <definedName name="SCDPT5_401BEGINNG_8" localSheetId="8">GMIC_22A_SCDPT5!$J$71</definedName>
    <definedName name="SCDPT5_401BEGINNG_9" localSheetId="8">GMIC_22A_SCDPT5!$K$71</definedName>
    <definedName name="SCDPT5_401ENDINGG_10" localSheetId="8">GMIC_22A_SCDPT5!$L$73</definedName>
    <definedName name="SCDPT5_401ENDINGG_11" localSheetId="8">GMIC_22A_SCDPT5!$M$73</definedName>
    <definedName name="SCDPT5_401ENDINGG_12" localSheetId="8">GMIC_22A_SCDPT5!$N$73</definedName>
    <definedName name="SCDPT5_401ENDINGG_13" localSheetId="8">GMIC_22A_SCDPT5!$O$73</definedName>
    <definedName name="SCDPT5_401ENDINGG_14" localSheetId="8">GMIC_22A_SCDPT5!$P$73</definedName>
    <definedName name="SCDPT5_401ENDINGG_15" localSheetId="8">GMIC_22A_SCDPT5!$Q$73</definedName>
    <definedName name="SCDPT5_401ENDINGG_16" localSheetId="8">GMIC_22A_SCDPT5!$R$73</definedName>
    <definedName name="SCDPT5_401ENDINGG_17" localSheetId="8">GMIC_22A_SCDPT5!$S$73</definedName>
    <definedName name="SCDPT5_401ENDINGG_18" localSheetId="8">GMIC_22A_SCDPT5!$T$73</definedName>
    <definedName name="SCDPT5_401ENDINGG_19" localSheetId="8">GMIC_22A_SCDPT5!$U$73</definedName>
    <definedName name="SCDPT5_401ENDINGG_2" localSheetId="8">GMIC_22A_SCDPT5!$D$73</definedName>
    <definedName name="SCDPT5_401ENDINGG_20" localSheetId="8">GMIC_22A_SCDPT5!$V$73</definedName>
    <definedName name="SCDPT5_401ENDINGG_21" localSheetId="8">GMIC_22A_SCDPT5!$W$73</definedName>
    <definedName name="SCDPT5_401ENDINGG_22" localSheetId="8">GMIC_22A_SCDPT5!$X$73</definedName>
    <definedName name="SCDPT5_401ENDINGG_23" localSheetId="8">GMIC_22A_SCDPT5!$Y$73</definedName>
    <definedName name="SCDPT5_401ENDINGG_24" localSheetId="8">GMIC_22A_SCDPT5!$Z$73</definedName>
    <definedName name="SCDPT5_401ENDINGG_25" localSheetId="8">GMIC_22A_SCDPT5!$AA$73</definedName>
    <definedName name="SCDPT5_401ENDINGG_26" localSheetId="8">GMIC_22A_SCDPT5!$AB$73</definedName>
    <definedName name="SCDPT5_401ENDINGG_27" localSheetId="8">GMIC_22A_SCDPT5!$AC$73</definedName>
    <definedName name="SCDPT5_401ENDINGG_3" localSheetId="8">GMIC_22A_SCDPT5!$E$73</definedName>
    <definedName name="SCDPT5_401ENDINGG_4" localSheetId="8">GMIC_22A_SCDPT5!$F$73</definedName>
    <definedName name="SCDPT5_401ENDINGG_5" localSheetId="8">GMIC_22A_SCDPT5!$G$73</definedName>
    <definedName name="SCDPT5_401ENDINGG_6" localSheetId="8">GMIC_22A_SCDPT5!$H$73</definedName>
    <definedName name="SCDPT5_401ENDINGG_7" localSheetId="8">GMIC_22A_SCDPT5!$I$73</definedName>
    <definedName name="SCDPT5_401ENDINGG_8" localSheetId="8">GMIC_22A_SCDPT5!$J$73</definedName>
    <definedName name="SCDPT5_401ENDINGG_9" localSheetId="8">GMIC_22A_SCDPT5!$K$73</definedName>
    <definedName name="SCDPT5_4020000000_Range" localSheetId="8">GMIC_22A_SCDPT5!$B$75:$AC$77</definedName>
    <definedName name="SCDPT5_4029999999_10" localSheetId="8">GMIC_22A_SCDPT5!$L$78</definedName>
    <definedName name="SCDPT5_4029999999_11" localSheetId="8">GMIC_22A_SCDPT5!$M$78</definedName>
    <definedName name="SCDPT5_4029999999_12" localSheetId="8">GMIC_22A_SCDPT5!$N$78</definedName>
    <definedName name="SCDPT5_4029999999_13" localSheetId="8">GMIC_22A_SCDPT5!$O$78</definedName>
    <definedName name="SCDPT5_4029999999_14" localSheetId="8">GMIC_22A_SCDPT5!$P$78</definedName>
    <definedName name="SCDPT5_4029999999_15" localSheetId="8">GMIC_22A_SCDPT5!$Q$78</definedName>
    <definedName name="SCDPT5_4029999999_16" localSheetId="8">GMIC_22A_SCDPT5!$R$78</definedName>
    <definedName name="SCDPT5_4029999999_17" localSheetId="8">GMIC_22A_SCDPT5!$S$78</definedName>
    <definedName name="SCDPT5_4029999999_18" localSheetId="8">GMIC_22A_SCDPT5!$T$78</definedName>
    <definedName name="SCDPT5_4029999999_19" localSheetId="8">GMIC_22A_SCDPT5!$U$78</definedName>
    <definedName name="SCDPT5_4029999999_20" localSheetId="8">GMIC_22A_SCDPT5!$V$78</definedName>
    <definedName name="SCDPT5_4029999999_21" localSheetId="8">GMIC_22A_SCDPT5!$W$78</definedName>
    <definedName name="SCDPT5_4029999999_9" localSheetId="8">GMIC_22A_SCDPT5!$K$78</definedName>
    <definedName name="SCDPT5_402BEGINNG_1" localSheetId="8">GMIC_22A_SCDPT5!$C$75</definedName>
    <definedName name="SCDPT5_402BEGINNG_10" localSheetId="8">GMIC_22A_SCDPT5!$L$75</definedName>
    <definedName name="SCDPT5_402BEGINNG_11" localSheetId="8">GMIC_22A_SCDPT5!$M$75</definedName>
    <definedName name="SCDPT5_402BEGINNG_12" localSheetId="8">GMIC_22A_SCDPT5!$N$75</definedName>
    <definedName name="SCDPT5_402BEGINNG_13" localSheetId="8">GMIC_22A_SCDPT5!$O$75</definedName>
    <definedName name="SCDPT5_402BEGINNG_14" localSheetId="8">GMIC_22A_SCDPT5!$P$75</definedName>
    <definedName name="SCDPT5_402BEGINNG_15" localSheetId="8">GMIC_22A_SCDPT5!$Q$75</definedName>
    <definedName name="SCDPT5_402BEGINNG_16" localSheetId="8">GMIC_22A_SCDPT5!$R$75</definedName>
    <definedName name="SCDPT5_402BEGINNG_17" localSheetId="8">GMIC_22A_SCDPT5!$S$75</definedName>
    <definedName name="SCDPT5_402BEGINNG_18" localSheetId="8">GMIC_22A_SCDPT5!$T$75</definedName>
    <definedName name="SCDPT5_402BEGINNG_19" localSheetId="8">GMIC_22A_SCDPT5!$U$75</definedName>
    <definedName name="SCDPT5_402BEGINNG_2" localSheetId="8">GMIC_22A_SCDPT5!$D$75</definedName>
    <definedName name="SCDPT5_402BEGINNG_20" localSheetId="8">GMIC_22A_SCDPT5!$V$75</definedName>
    <definedName name="SCDPT5_402BEGINNG_21" localSheetId="8">GMIC_22A_SCDPT5!$W$75</definedName>
    <definedName name="SCDPT5_402BEGINNG_22" localSheetId="8">GMIC_22A_SCDPT5!$X$75</definedName>
    <definedName name="SCDPT5_402BEGINNG_23" localSheetId="8">GMIC_22A_SCDPT5!$Y$75</definedName>
    <definedName name="SCDPT5_402BEGINNG_24" localSheetId="8">GMIC_22A_SCDPT5!$Z$75</definedName>
    <definedName name="SCDPT5_402BEGINNG_25" localSheetId="8">GMIC_22A_SCDPT5!$AA$75</definedName>
    <definedName name="SCDPT5_402BEGINNG_26" localSheetId="8">GMIC_22A_SCDPT5!$AB$75</definedName>
    <definedName name="SCDPT5_402BEGINNG_27" localSheetId="8">GMIC_22A_SCDPT5!$AC$75</definedName>
    <definedName name="SCDPT5_402BEGINNG_3" localSheetId="8">GMIC_22A_SCDPT5!$E$75</definedName>
    <definedName name="SCDPT5_402BEGINNG_4" localSheetId="8">GMIC_22A_SCDPT5!$F$75</definedName>
    <definedName name="SCDPT5_402BEGINNG_5" localSheetId="8">GMIC_22A_SCDPT5!$G$75</definedName>
    <definedName name="SCDPT5_402BEGINNG_6" localSheetId="8">GMIC_22A_SCDPT5!$H$75</definedName>
    <definedName name="SCDPT5_402BEGINNG_7" localSheetId="8">GMIC_22A_SCDPT5!$I$75</definedName>
    <definedName name="SCDPT5_402BEGINNG_8" localSheetId="8">GMIC_22A_SCDPT5!$J$75</definedName>
    <definedName name="SCDPT5_402BEGINNG_9" localSheetId="8">GMIC_22A_SCDPT5!$K$75</definedName>
    <definedName name="SCDPT5_402ENDINGG_10" localSheetId="8">GMIC_22A_SCDPT5!$L$77</definedName>
    <definedName name="SCDPT5_402ENDINGG_11" localSheetId="8">GMIC_22A_SCDPT5!$M$77</definedName>
    <definedName name="SCDPT5_402ENDINGG_12" localSheetId="8">GMIC_22A_SCDPT5!$N$77</definedName>
    <definedName name="SCDPT5_402ENDINGG_13" localSheetId="8">GMIC_22A_SCDPT5!$O$77</definedName>
    <definedName name="SCDPT5_402ENDINGG_14" localSheetId="8">GMIC_22A_SCDPT5!$P$77</definedName>
    <definedName name="SCDPT5_402ENDINGG_15" localSheetId="8">GMIC_22A_SCDPT5!$Q$77</definedName>
    <definedName name="SCDPT5_402ENDINGG_16" localSheetId="8">GMIC_22A_SCDPT5!$R$77</definedName>
    <definedName name="SCDPT5_402ENDINGG_17" localSheetId="8">GMIC_22A_SCDPT5!$S$77</definedName>
    <definedName name="SCDPT5_402ENDINGG_18" localSheetId="8">GMIC_22A_SCDPT5!$T$77</definedName>
    <definedName name="SCDPT5_402ENDINGG_19" localSheetId="8">GMIC_22A_SCDPT5!$U$77</definedName>
    <definedName name="SCDPT5_402ENDINGG_2" localSheetId="8">GMIC_22A_SCDPT5!$D$77</definedName>
    <definedName name="SCDPT5_402ENDINGG_20" localSheetId="8">GMIC_22A_SCDPT5!$V$77</definedName>
    <definedName name="SCDPT5_402ENDINGG_21" localSheetId="8">GMIC_22A_SCDPT5!$W$77</definedName>
    <definedName name="SCDPT5_402ENDINGG_22" localSheetId="8">GMIC_22A_SCDPT5!$X$77</definedName>
    <definedName name="SCDPT5_402ENDINGG_23" localSheetId="8">GMIC_22A_SCDPT5!$Y$77</definedName>
    <definedName name="SCDPT5_402ENDINGG_24" localSheetId="8">GMIC_22A_SCDPT5!$Z$77</definedName>
    <definedName name="SCDPT5_402ENDINGG_25" localSheetId="8">GMIC_22A_SCDPT5!$AA$77</definedName>
    <definedName name="SCDPT5_402ENDINGG_26" localSheetId="8">GMIC_22A_SCDPT5!$AB$77</definedName>
    <definedName name="SCDPT5_402ENDINGG_27" localSheetId="8">GMIC_22A_SCDPT5!$AC$77</definedName>
    <definedName name="SCDPT5_402ENDINGG_3" localSheetId="8">GMIC_22A_SCDPT5!$E$77</definedName>
    <definedName name="SCDPT5_402ENDINGG_4" localSheetId="8">GMIC_22A_SCDPT5!$F$77</definedName>
    <definedName name="SCDPT5_402ENDINGG_5" localSheetId="8">GMIC_22A_SCDPT5!$G$77</definedName>
    <definedName name="SCDPT5_402ENDINGG_6" localSheetId="8">GMIC_22A_SCDPT5!$H$77</definedName>
    <definedName name="SCDPT5_402ENDINGG_7" localSheetId="8">GMIC_22A_SCDPT5!$I$77</definedName>
    <definedName name="SCDPT5_402ENDINGG_8" localSheetId="8">GMIC_22A_SCDPT5!$J$77</definedName>
    <definedName name="SCDPT5_402ENDINGG_9" localSheetId="8">GMIC_22A_SCDPT5!$K$77</definedName>
    <definedName name="SCDPT5_4310000000_Range" localSheetId="8">GMIC_22A_SCDPT5!$B$79:$AC$81</definedName>
    <definedName name="SCDPT5_4319999999_10" localSheetId="8">GMIC_22A_SCDPT5!$L$82</definedName>
    <definedName name="SCDPT5_4319999999_11" localSheetId="8">GMIC_22A_SCDPT5!$M$82</definedName>
    <definedName name="SCDPT5_4319999999_12" localSheetId="8">GMIC_22A_SCDPT5!$N$82</definedName>
    <definedName name="SCDPT5_4319999999_13" localSheetId="8">GMIC_22A_SCDPT5!$O$82</definedName>
    <definedName name="SCDPT5_4319999999_14" localSheetId="8">GMIC_22A_SCDPT5!$P$82</definedName>
    <definedName name="SCDPT5_4319999999_15" localSheetId="8">GMIC_22A_SCDPT5!$Q$82</definedName>
    <definedName name="SCDPT5_4319999999_16" localSheetId="8">GMIC_22A_SCDPT5!$R$82</definedName>
    <definedName name="SCDPT5_4319999999_17" localSheetId="8">GMIC_22A_SCDPT5!$S$82</definedName>
    <definedName name="SCDPT5_4319999999_18" localSheetId="8">GMIC_22A_SCDPT5!$T$82</definedName>
    <definedName name="SCDPT5_4319999999_19" localSheetId="8">GMIC_22A_SCDPT5!$U$82</definedName>
    <definedName name="SCDPT5_4319999999_20" localSheetId="8">GMIC_22A_SCDPT5!$V$82</definedName>
    <definedName name="SCDPT5_4319999999_21" localSheetId="8">GMIC_22A_SCDPT5!$W$82</definedName>
    <definedName name="SCDPT5_4319999999_9" localSheetId="8">GMIC_22A_SCDPT5!$K$82</definedName>
    <definedName name="SCDPT5_431BEGINNG_1" localSheetId="8">GMIC_22A_SCDPT5!$C$79</definedName>
    <definedName name="SCDPT5_431BEGINNG_10" localSheetId="8">GMIC_22A_SCDPT5!$L$79</definedName>
    <definedName name="SCDPT5_431BEGINNG_11" localSheetId="8">GMIC_22A_SCDPT5!$M$79</definedName>
    <definedName name="SCDPT5_431BEGINNG_12" localSheetId="8">GMIC_22A_SCDPT5!$N$79</definedName>
    <definedName name="SCDPT5_431BEGINNG_13" localSheetId="8">GMIC_22A_SCDPT5!$O$79</definedName>
    <definedName name="SCDPT5_431BEGINNG_14" localSheetId="8">GMIC_22A_SCDPT5!$P$79</definedName>
    <definedName name="SCDPT5_431BEGINNG_15" localSheetId="8">GMIC_22A_SCDPT5!$Q$79</definedName>
    <definedName name="SCDPT5_431BEGINNG_16" localSheetId="8">GMIC_22A_SCDPT5!$R$79</definedName>
    <definedName name="SCDPT5_431BEGINNG_17" localSheetId="8">GMIC_22A_SCDPT5!$S$79</definedName>
    <definedName name="SCDPT5_431BEGINNG_18" localSheetId="8">GMIC_22A_SCDPT5!$T$79</definedName>
    <definedName name="SCDPT5_431BEGINNG_19" localSheetId="8">GMIC_22A_SCDPT5!$U$79</definedName>
    <definedName name="SCDPT5_431BEGINNG_2" localSheetId="8">GMIC_22A_SCDPT5!$D$79</definedName>
    <definedName name="SCDPT5_431BEGINNG_20" localSheetId="8">GMIC_22A_SCDPT5!$V$79</definedName>
    <definedName name="SCDPT5_431BEGINNG_21" localSheetId="8">GMIC_22A_SCDPT5!$W$79</definedName>
    <definedName name="SCDPT5_431BEGINNG_22" localSheetId="8">GMIC_22A_SCDPT5!$X$79</definedName>
    <definedName name="SCDPT5_431BEGINNG_23" localSheetId="8">GMIC_22A_SCDPT5!$Y$79</definedName>
    <definedName name="SCDPT5_431BEGINNG_24" localSheetId="8">GMIC_22A_SCDPT5!$Z$79</definedName>
    <definedName name="SCDPT5_431BEGINNG_25" localSheetId="8">GMIC_22A_SCDPT5!$AA$79</definedName>
    <definedName name="SCDPT5_431BEGINNG_26" localSheetId="8">GMIC_22A_SCDPT5!$AB$79</definedName>
    <definedName name="SCDPT5_431BEGINNG_27" localSheetId="8">GMIC_22A_SCDPT5!$AC$79</definedName>
    <definedName name="SCDPT5_431BEGINNG_3" localSheetId="8">GMIC_22A_SCDPT5!$E$79</definedName>
    <definedName name="SCDPT5_431BEGINNG_4" localSheetId="8">GMIC_22A_SCDPT5!$F$79</definedName>
    <definedName name="SCDPT5_431BEGINNG_5" localSheetId="8">GMIC_22A_SCDPT5!$G$79</definedName>
    <definedName name="SCDPT5_431BEGINNG_6" localSheetId="8">GMIC_22A_SCDPT5!$H$79</definedName>
    <definedName name="SCDPT5_431BEGINNG_7" localSheetId="8">GMIC_22A_SCDPT5!$I$79</definedName>
    <definedName name="SCDPT5_431BEGINNG_8" localSheetId="8">GMIC_22A_SCDPT5!$J$79</definedName>
    <definedName name="SCDPT5_431BEGINNG_9" localSheetId="8">GMIC_22A_SCDPT5!$K$79</definedName>
    <definedName name="SCDPT5_431ENDINGG_10" localSheetId="8">GMIC_22A_SCDPT5!$L$81</definedName>
    <definedName name="SCDPT5_431ENDINGG_11" localSheetId="8">GMIC_22A_SCDPT5!$M$81</definedName>
    <definedName name="SCDPT5_431ENDINGG_12" localSheetId="8">GMIC_22A_SCDPT5!$N$81</definedName>
    <definedName name="SCDPT5_431ENDINGG_13" localSheetId="8">GMIC_22A_SCDPT5!$O$81</definedName>
    <definedName name="SCDPT5_431ENDINGG_14" localSheetId="8">GMIC_22A_SCDPT5!$P$81</definedName>
    <definedName name="SCDPT5_431ENDINGG_15" localSheetId="8">GMIC_22A_SCDPT5!$Q$81</definedName>
    <definedName name="SCDPT5_431ENDINGG_16" localSheetId="8">GMIC_22A_SCDPT5!$R$81</definedName>
    <definedName name="SCDPT5_431ENDINGG_17" localSheetId="8">GMIC_22A_SCDPT5!$S$81</definedName>
    <definedName name="SCDPT5_431ENDINGG_18" localSheetId="8">GMIC_22A_SCDPT5!$T$81</definedName>
    <definedName name="SCDPT5_431ENDINGG_19" localSheetId="8">GMIC_22A_SCDPT5!$U$81</definedName>
    <definedName name="SCDPT5_431ENDINGG_2" localSheetId="8">GMIC_22A_SCDPT5!$D$81</definedName>
    <definedName name="SCDPT5_431ENDINGG_20" localSheetId="8">GMIC_22A_SCDPT5!$V$81</definedName>
    <definedName name="SCDPT5_431ENDINGG_21" localSheetId="8">GMIC_22A_SCDPT5!$W$81</definedName>
    <definedName name="SCDPT5_431ENDINGG_22" localSheetId="8">GMIC_22A_SCDPT5!$X$81</definedName>
    <definedName name="SCDPT5_431ENDINGG_23" localSheetId="8">GMIC_22A_SCDPT5!$Y$81</definedName>
    <definedName name="SCDPT5_431ENDINGG_24" localSheetId="8">GMIC_22A_SCDPT5!$Z$81</definedName>
    <definedName name="SCDPT5_431ENDINGG_25" localSheetId="8">GMIC_22A_SCDPT5!$AA$81</definedName>
    <definedName name="SCDPT5_431ENDINGG_26" localSheetId="8">GMIC_22A_SCDPT5!$AB$81</definedName>
    <definedName name="SCDPT5_431ENDINGG_27" localSheetId="8">GMIC_22A_SCDPT5!$AC$81</definedName>
    <definedName name="SCDPT5_431ENDINGG_3" localSheetId="8">GMIC_22A_SCDPT5!$E$81</definedName>
    <definedName name="SCDPT5_431ENDINGG_4" localSheetId="8">GMIC_22A_SCDPT5!$F$81</definedName>
    <definedName name="SCDPT5_431ENDINGG_5" localSheetId="8">GMIC_22A_SCDPT5!$G$81</definedName>
    <definedName name="SCDPT5_431ENDINGG_6" localSheetId="8">GMIC_22A_SCDPT5!$H$81</definedName>
    <definedName name="SCDPT5_431ENDINGG_7" localSheetId="8">GMIC_22A_SCDPT5!$I$81</definedName>
    <definedName name="SCDPT5_431ENDINGG_8" localSheetId="8">GMIC_22A_SCDPT5!$J$81</definedName>
    <definedName name="SCDPT5_431ENDINGG_9" localSheetId="8">GMIC_22A_SCDPT5!$K$81</definedName>
    <definedName name="SCDPT5_4320000000_Range" localSheetId="8">GMIC_22A_SCDPT5!$B$83:$AC$85</definedName>
    <definedName name="SCDPT5_4329999999_10" localSheetId="8">GMIC_22A_SCDPT5!$L$86</definedName>
    <definedName name="SCDPT5_4329999999_11" localSheetId="8">GMIC_22A_SCDPT5!$M$86</definedName>
    <definedName name="SCDPT5_4329999999_12" localSheetId="8">GMIC_22A_SCDPT5!$N$86</definedName>
    <definedName name="SCDPT5_4329999999_13" localSheetId="8">GMIC_22A_SCDPT5!$O$86</definedName>
    <definedName name="SCDPT5_4329999999_14" localSheetId="8">GMIC_22A_SCDPT5!$P$86</definedName>
    <definedName name="SCDPT5_4329999999_15" localSheetId="8">GMIC_22A_SCDPT5!$Q$86</definedName>
    <definedName name="SCDPT5_4329999999_16" localSheetId="8">GMIC_22A_SCDPT5!$R$86</definedName>
    <definedName name="SCDPT5_4329999999_17" localSheetId="8">GMIC_22A_SCDPT5!$S$86</definedName>
    <definedName name="SCDPT5_4329999999_18" localSheetId="8">GMIC_22A_SCDPT5!$T$86</definedName>
    <definedName name="SCDPT5_4329999999_19" localSheetId="8">GMIC_22A_SCDPT5!$U$86</definedName>
    <definedName name="SCDPT5_4329999999_20" localSheetId="8">GMIC_22A_SCDPT5!$V$86</definedName>
    <definedName name="SCDPT5_4329999999_21" localSheetId="8">GMIC_22A_SCDPT5!$W$86</definedName>
    <definedName name="SCDPT5_4329999999_9" localSheetId="8">GMIC_22A_SCDPT5!$K$86</definedName>
    <definedName name="SCDPT5_432BEGINNG_1" localSheetId="8">GMIC_22A_SCDPT5!$C$83</definedName>
    <definedName name="SCDPT5_432BEGINNG_10" localSheetId="8">GMIC_22A_SCDPT5!$L$83</definedName>
    <definedName name="SCDPT5_432BEGINNG_11" localSheetId="8">GMIC_22A_SCDPT5!$M$83</definedName>
    <definedName name="SCDPT5_432BEGINNG_12" localSheetId="8">GMIC_22A_SCDPT5!$N$83</definedName>
    <definedName name="SCDPT5_432BEGINNG_13" localSheetId="8">GMIC_22A_SCDPT5!$O$83</definedName>
    <definedName name="SCDPT5_432BEGINNG_14" localSheetId="8">GMIC_22A_SCDPT5!$P$83</definedName>
    <definedName name="SCDPT5_432BEGINNG_15" localSheetId="8">GMIC_22A_SCDPT5!$Q$83</definedName>
    <definedName name="SCDPT5_432BEGINNG_16" localSheetId="8">GMIC_22A_SCDPT5!$R$83</definedName>
    <definedName name="SCDPT5_432BEGINNG_17" localSheetId="8">GMIC_22A_SCDPT5!$S$83</definedName>
    <definedName name="SCDPT5_432BEGINNG_18" localSheetId="8">GMIC_22A_SCDPT5!$T$83</definedName>
    <definedName name="SCDPT5_432BEGINNG_19" localSheetId="8">GMIC_22A_SCDPT5!$U$83</definedName>
    <definedName name="SCDPT5_432BEGINNG_2" localSheetId="8">GMIC_22A_SCDPT5!$D$83</definedName>
    <definedName name="SCDPT5_432BEGINNG_20" localSheetId="8">GMIC_22A_SCDPT5!$V$83</definedName>
    <definedName name="SCDPT5_432BEGINNG_21" localSheetId="8">GMIC_22A_SCDPT5!$W$83</definedName>
    <definedName name="SCDPT5_432BEGINNG_22" localSheetId="8">GMIC_22A_SCDPT5!$X$83</definedName>
    <definedName name="SCDPT5_432BEGINNG_23" localSheetId="8">GMIC_22A_SCDPT5!$Y$83</definedName>
    <definedName name="SCDPT5_432BEGINNG_24" localSheetId="8">GMIC_22A_SCDPT5!$Z$83</definedName>
    <definedName name="SCDPT5_432BEGINNG_25" localSheetId="8">GMIC_22A_SCDPT5!$AA$83</definedName>
    <definedName name="SCDPT5_432BEGINNG_26" localSheetId="8">GMIC_22A_SCDPT5!$AB$83</definedName>
    <definedName name="SCDPT5_432BEGINNG_27" localSheetId="8">GMIC_22A_SCDPT5!$AC$83</definedName>
    <definedName name="SCDPT5_432BEGINNG_3" localSheetId="8">GMIC_22A_SCDPT5!$E$83</definedName>
    <definedName name="SCDPT5_432BEGINNG_4" localSheetId="8">GMIC_22A_SCDPT5!$F$83</definedName>
    <definedName name="SCDPT5_432BEGINNG_5" localSheetId="8">GMIC_22A_SCDPT5!$G$83</definedName>
    <definedName name="SCDPT5_432BEGINNG_6" localSheetId="8">GMIC_22A_SCDPT5!$H$83</definedName>
    <definedName name="SCDPT5_432BEGINNG_7" localSheetId="8">GMIC_22A_SCDPT5!$I$83</definedName>
    <definedName name="SCDPT5_432BEGINNG_8" localSheetId="8">GMIC_22A_SCDPT5!$J$83</definedName>
    <definedName name="SCDPT5_432BEGINNG_9" localSheetId="8">GMIC_22A_SCDPT5!$K$83</definedName>
    <definedName name="SCDPT5_432ENDINGG_10" localSheetId="8">GMIC_22A_SCDPT5!$L$85</definedName>
    <definedName name="SCDPT5_432ENDINGG_11" localSheetId="8">GMIC_22A_SCDPT5!$M$85</definedName>
    <definedName name="SCDPT5_432ENDINGG_12" localSheetId="8">GMIC_22A_SCDPT5!$N$85</definedName>
    <definedName name="SCDPT5_432ENDINGG_13" localSheetId="8">GMIC_22A_SCDPT5!$O$85</definedName>
    <definedName name="SCDPT5_432ENDINGG_14" localSheetId="8">GMIC_22A_SCDPT5!$P$85</definedName>
    <definedName name="SCDPT5_432ENDINGG_15" localSheetId="8">GMIC_22A_SCDPT5!$Q$85</definedName>
    <definedName name="SCDPT5_432ENDINGG_16" localSheetId="8">GMIC_22A_SCDPT5!$R$85</definedName>
    <definedName name="SCDPT5_432ENDINGG_17" localSheetId="8">GMIC_22A_SCDPT5!$S$85</definedName>
    <definedName name="SCDPT5_432ENDINGG_18" localSheetId="8">GMIC_22A_SCDPT5!$T$85</definedName>
    <definedName name="SCDPT5_432ENDINGG_19" localSheetId="8">GMIC_22A_SCDPT5!$U$85</definedName>
    <definedName name="SCDPT5_432ENDINGG_2" localSheetId="8">GMIC_22A_SCDPT5!$D$85</definedName>
    <definedName name="SCDPT5_432ENDINGG_20" localSheetId="8">GMIC_22A_SCDPT5!$V$85</definedName>
    <definedName name="SCDPT5_432ENDINGG_21" localSheetId="8">GMIC_22A_SCDPT5!$W$85</definedName>
    <definedName name="SCDPT5_432ENDINGG_22" localSheetId="8">GMIC_22A_SCDPT5!$X$85</definedName>
    <definedName name="SCDPT5_432ENDINGG_23" localSheetId="8">GMIC_22A_SCDPT5!$Y$85</definedName>
    <definedName name="SCDPT5_432ENDINGG_24" localSheetId="8">GMIC_22A_SCDPT5!$Z$85</definedName>
    <definedName name="SCDPT5_432ENDINGG_25" localSheetId="8">GMIC_22A_SCDPT5!$AA$85</definedName>
    <definedName name="SCDPT5_432ENDINGG_26" localSheetId="8">GMIC_22A_SCDPT5!$AB$85</definedName>
    <definedName name="SCDPT5_432ENDINGG_27" localSheetId="8">GMIC_22A_SCDPT5!$AC$85</definedName>
    <definedName name="SCDPT5_432ENDINGG_3" localSheetId="8">GMIC_22A_SCDPT5!$E$85</definedName>
    <definedName name="SCDPT5_432ENDINGG_4" localSheetId="8">GMIC_22A_SCDPT5!$F$85</definedName>
    <definedName name="SCDPT5_432ENDINGG_5" localSheetId="8">GMIC_22A_SCDPT5!$G$85</definedName>
    <definedName name="SCDPT5_432ENDINGG_6" localSheetId="8">GMIC_22A_SCDPT5!$H$85</definedName>
    <definedName name="SCDPT5_432ENDINGG_7" localSheetId="8">GMIC_22A_SCDPT5!$I$85</definedName>
    <definedName name="SCDPT5_432ENDINGG_8" localSheetId="8">GMIC_22A_SCDPT5!$J$85</definedName>
    <definedName name="SCDPT5_432ENDINGG_9" localSheetId="8">GMIC_22A_SCDPT5!$K$85</definedName>
    <definedName name="SCDPT5_4509999998_10" localSheetId="8">GMIC_22A_SCDPT5!$L$87</definedName>
    <definedName name="SCDPT5_4509999998_11" localSheetId="8">GMIC_22A_SCDPT5!$M$87</definedName>
    <definedName name="SCDPT5_4509999998_12" localSheetId="8">GMIC_22A_SCDPT5!$N$87</definedName>
    <definedName name="SCDPT5_4509999998_13" localSheetId="8">GMIC_22A_SCDPT5!$O$87</definedName>
    <definedName name="SCDPT5_4509999998_14" localSheetId="8">GMIC_22A_SCDPT5!$P$87</definedName>
    <definedName name="SCDPT5_4509999998_15" localSheetId="8">GMIC_22A_SCDPT5!$Q$87</definedName>
    <definedName name="SCDPT5_4509999998_16" localSheetId="8">GMIC_22A_SCDPT5!$R$87</definedName>
    <definedName name="SCDPT5_4509999998_17" localSheetId="8">GMIC_22A_SCDPT5!$S$87</definedName>
    <definedName name="SCDPT5_4509999998_18" localSheetId="8">GMIC_22A_SCDPT5!$T$87</definedName>
    <definedName name="SCDPT5_4509999998_19" localSheetId="8">GMIC_22A_SCDPT5!$U$87</definedName>
    <definedName name="SCDPT5_4509999998_20" localSheetId="8">GMIC_22A_SCDPT5!$V$87</definedName>
    <definedName name="SCDPT5_4509999998_21" localSheetId="8">GMIC_22A_SCDPT5!$W$87</definedName>
    <definedName name="SCDPT5_4509999998_9" localSheetId="8">GMIC_22A_SCDPT5!$K$87</definedName>
    <definedName name="SCDPT5_5010000000_Range" localSheetId="8">GMIC_22A_SCDPT5!$B$88:$AC$90</definedName>
    <definedName name="SCDPT5_5019999999_10" localSheetId="8">GMIC_22A_SCDPT5!$L$91</definedName>
    <definedName name="SCDPT5_5019999999_11" localSheetId="8">GMIC_22A_SCDPT5!$M$91</definedName>
    <definedName name="SCDPT5_5019999999_12" localSheetId="8">GMIC_22A_SCDPT5!$N$91</definedName>
    <definedName name="SCDPT5_5019999999_13" localSheetId="8">GMIC_22A_SCDPT5!$O$91</definedName>
    <definedName name="SCDPT5_5019999999_14" localSheetId="8">GMIC_22A_SCDPT5!$P$91</definedName>
    <definedName name="SCDPT5_5019999999_15" localSheetId="8">GMIC_22A_SCDPT5!$Q$91</definedName>
    <definedName name="SCDPT5_5019999999_16" localSheetId="8">GMIC_22A_SCDPT5!$R$91</definedName>
    <definedName name="SCDPT5_5019999999_17" localSheetId="8">GMIC_22A_SCDPT5!$S$91</definedName>
    <definedName name="SCDPT5_5019999999_18" localSheetId="8">GMIC_22A_SCDPT5!$T$91</definedName>
    <definedName name="SCDPT5_5019999999_19" localSheetId="8">GMIC_22A_SCDPT5!$U$91</definedName>
    <definedName name="SCDPT5_5019999999_20" localSheetId="8">GMIC_22A_SCDPT5!$V$91</definedName>
    <definedName name="SCDPT5_5019999999_21" localSheetId="8">GMIC_22A_SCDPT5!$W$91</definedName>
    <definedName name="SCDPT5_5019999999_9" localSheetId="8">GMIC_22A_SCDPT5!$K$91</definedName>
    <definedName name="SCDPT5_501BEGINNG_1" localSheetId="8">GMIC_22A_SCDPT5!$C$88</definedName>
    <definedName name="SCDPT5_501BEGINNG_10" localSheetId="8">GMIC_22A_SCDPT5!$L$88</definedName>
    <definedName name="SCDPT5_501BEGINNG_11" localSheetId="8">GMIC_22A_SCDPT5!$M$88</definedName>
    <definedName name="SCDPT5_501BEGINNG_12" localSheetId="8">GMIC_22A_SCDPT5!$N$88</definedName>
    <definedName name="SCDPT5_501BEGINNG_13" localSheetId="8">GMIC_22A_SCDPT5!$O$88</definedName>
    <definedName name="SCDPT5_501BEGINNG_14" localSheetId="8">GMIC_22A_SCDPT5!$P$88</definedName>
    <definedName name="SCDPT5_501BEGINNG_15" localSheetId="8">GMIC_22A_SCDPT5!$Q$88</definedName>
    <definedName name="SCDPT5_501BEGINNG_16" localSheetId="8">GMIC_22A_SCDPT5!$R$88</definedName>
    <definedName name="SCDPT5_501BEGINNG_17" localSheetId="8">GMIC_22A_SCDPT5!$S$88</definedName>
    <definedName name="SCDPT5_501BEGINNG_18" localSheetId="8">GMIC_22A_SCDPT5!$T$88</definedName>
    <definedName name="SCDPT5_501BEGINNG_19" localSheetId="8">GMIC_22A_SCDPT5!$U$88</definedName>
    <definedName name="SCDPT5_501BEGINNG_2" localSheetId="8">GMIC_22A_SCDPT5!$D$88</definedName>
    <definedName name="SCDPT5_501BEGINNG_20" localSheetId="8">GMIC_22A_SCDPT5!$V$88</definedName>
    <definedName name="SCDPT5_501BEGINNG_21" localSheetId="8">GMIC_22A_SCDPT5!$W$88</definedName>
    <definedName name="SCDPT5_501BEGINNG_22" localSheetId="8">GMIC_22A_SCDPT5!$X$88</definedName>
    <definedName name="SCDPT5_501BEGINNG_23" localSheetId="8">GMIC_22A_SCDPT5!$Y$88</definedName>
    <definedName name="SCDPT5_501BEGINNG_24" localSheetId="8">GMIC_22A_SCDPT5!$Z$88</definedName>
    <definedName name="SCDPT5_501BEGINNG_25" localSheetId="8">GMIC_22A_SCDPT5!$AA$88</definedName>
    <definedName name="SCDPT5_501BEGINNG_26" localSheetId="8">GMIC_22A_SCDPT5!$AB$88</definedName>
    <definedName name="SCDPT5_501BEGINNG_27" localSheetId="8">GMIC_22A_SCDPT5!$AC$88</definedName>
    <definedName name="SCDPT5_501BEGINNG_3" localSheetId="8">GMIC_22A_SCDPT5!$E$88</definedName>
    <definedName name="SCDPT5_501BEGINNG_4" localSheetId="8">GMIC_22A_SCDPT5!$F$88</definedName>
    <definedName name="SCDPT5_501BEGINNG_5" localSheetId="8">GMIC_22A_SCDPT5!$G$88</definedName>
    <definedName name="SCDPT5_501BEGINNG_6" localSheetId="8">GMIC_22A_SCDPT5!$H$88</definedName>
    <definedName name="SCDPT5_501BEGINNG_7" localSheetId="8">GMIC_22A_SCDPT5!$I$88</definedName>
    <definedName name="SCDPT5_501BEGINNG_8" localSheetId="8">GMIC_22A_SCDPT5!$J$88</definedName>
    <definedName name="SCDPT5_501BEGINNG_9" localSheetId="8">GMIC_22A_SCDPT5!$K$88</definedName>
    <definedName name="SCDPT5_501ENDINGG_10" localSheetId="8">GMIC_22A_SCDPT5!$L$90</definedName>
    <definedName name="SCDPT5_501ENDINGG_11" localSheetId="8">GMIC_22A_SCDPT5!$M$90</definedName>
    <definedName name="SCDPT5_501ENDINGG_12" localSheetId="8">GMIC_22A_SCDPT5!$N$90</definedName>
    <definedName name="SCDPT5_501ENDINGG_13" localSheetId="8">GMIC_22A_SCDPT5!$O$90</definedName>
    <definedName name="SCDPT5_501ENDINGG_14" localSheetId="8">GMIC_22A_SCDPT5!$P$90</definedName>
    <definedName name="SCDPT5_501ENDINGG_15" localSheetId="8">GMIC_22A_SCDPT5!$Q$90</definedName>
    <definedName name="SCDPT5_501ENDINGG_16" localSheetId="8">GMIC_22A_SCDPT5!$R$90</definedName>
    <definedName name="SCDPT5_501ENDINGG_17" localSheetId="8">GMIC_22A_SCDPT5!$S$90</definedName>
    <definedName name="SCDPT5_501ENDINGG_18" localSheetId="8">GMIC_22A_SCDPT5!$T$90</definedName>
    <definedName name="SCDPT5_501ENDINGG_19" localSheetId="8">GMIC_22A_SCDPT5!$U$90</definedName>
    <definedName name="SCDPT5_501ENDINGG_2" localSheetId="8">GMIC_22A_SCDPT5!$D$90</definedName>
    <definedName name="SCDPT5_501ENDINGG_20" localSheetId="8">GMIC_22A_SCDPT5!$V$90</definedName>
    <definedName name="SCDPT5_501ENDINGG_21" localSheetId="8">GMIC_22A_SCDPT5!$W$90</definedName>
    <definedName name="SCDPT5_501ENDINGG_22" localSheetId="8">GMIC_22A_SCDPT5!$X$90</definedName>
    <definedName name="SCDPT5_501ENDINGG_23" localSheetId="8">GMIC_22A_SCDPT5!$Y$90</definedName>
    <definedName name="SCDPT5_501ENDINGG_24" localSheetId="8">GMIC_22A_SCDPT5!$Z$90</definedName>
    <definedName name="SCDPT5_501ENDINGG_25" localSheetId="8">GMIC_22A_SCDPT5!$AA$90</definedName>
    <definedName name="SCDPT5_501ENDINGG_26" localSheetId="8">GMIC_22A_SCDPT5!$AB$90</definedName>
    <definedName name="SCDPT5_501ENDINGG_27" localSheetId="8">GMIC_22A_SCDPT5!$AC$90</definedName>
    <definedName name="SCDPT5_501ENDINGG_3" localSheetId="8">GMIC_22A_SCDPT5!$E$90</definedName>
    <definedName name="SCDPT5_501ENDINGG_4" localSheetId="8">GMIC_22A_SCDPT5!$F$90</definedName>
    <definedName name="SCDPT5_501ENDINGG_5" localSheetId="8">GMIC_22A_SCDPT5!$G$90</definedName>
    <definedName name="SCDPT5_501ENDINGG_6" localSheetId="8">GMIC_22A_SCDPT5!$H$90</definedName>
    <definedName name="SCDPT5_501ENDINGG_7" localSheetId="8">GMIC_22A_SCDPT5!$I$90</definedName>
    <definedName name="SCDPT5_501ENDINGG_8" localSheetId="8">GMIC_22A_SCDPT5!$J$90</definedName>
    <definedName name="SCDPT5_501ENDINGG_9" localSheetId="8">GMIC_22A_SCDPT5!$K$90</definedName>
    <definedName name="SCDPT5_5020000000_Range" localSheetId="8">GMIC_22A_SCDPT5!$B$92:$AC$94</definedName>
    <definedName name="SCDPT5_5029999999_10" localSheetId="8">GMIC_22A_SCDPT5!$L$95</definedName>
    <definedName name="SCDPT5_5029999999_11" localSheetId="8">GMIC_22A_SCDPT5!$M$95</definedName>
    <definedName name="SCDPT5_5029999999_12" localSheetId="8">GMIC_22A_SCDPT5!$N$95</definedName>
    <definedName name="SCDPT5_5029999999_13" localSheetId="8">GMIC_22A_SCDPT5!$O$95</definedName>
    <definedName name="SCDPT5_5029999999_14" localSheetId="8">GMIC_22A_SCDPT5!$P$95</definedName>
    <definedName name="SCDPT5_5029999999_15" localSheetId="8">GMIC_22A_SCDPT5!$Q$95</definedName>
    <definedName name="SCDPT5_5029999999_16" localSheetId="8">GMIC_22A_SCDPT5!$R$95</definedName>
    <definedName name="SCDPT5_5029999999_17" localSheetId="8">GMIC_22A_SCDPT5!$S$95</definedName>
    <definedName name="SCDPT5_5029999999_18" localSheetId="8">GMIC_22A_SCDPT5!$T$95</definedName>
    <definedName name="SCDPT5_5029999999_19" localSheetId="8">GMIC_22A_SCDPT5!$U$95</definedName>
    <definedName name="SCDPT5_5029999999_20" localSheetId="8">GMIC_22A_SCDPT5!$V$95</definedName>
    <definedName name="SCDPT5_5029999999_21" localSheetId="8">GMIC_22A_SCDPT5!$W$95</definedName>
    <definedName name="SCDPT5_5029999999_9" localSheetId="8">GMIC_22A_SCDPT5!$K$95</definedName>
    <definedName name="SCDPT5_502BEGINNG_1" localSheetId="8">GMIC_22A_SCDPT5!$C$92</definedName>
    <definedName name="SCDPT5_502BEGINNG_10" localSheetId="8">GMIC_22A_SCDPT5!$L$92</definedName>
    <definedName name="SCDPT5_502BEGINNG_11" localSheetId="8">GMIC_22A_SCDPT5!$M$92</definedName>
    <definedName name="SCDPT5_502BEGINNG_12" localSheetId="8">GMIC_22A_SCDPT5!$N$92</definedName>
    <definedName name="SCDPT5_502BEGINNG_13" localSheetId="8">GMIC_22A_SCDPT5!$O$92</definedName>
    <definedName name="SCDPT5_502BEGINNG_14" localSheetId="8">GMIC_22A_SCDPT5!$P$92</definedName>
    <definedName name="SCDPT5_502BEGINNG_15" localSheetId="8">GMIC_22A_SCDPT5!$Q$92</definedName>
    <definedName name="SCDPT5_502BEGINNG_16" localSheetId="8">GMIC_22A_SCDPT5!$R$92</definedName>
    <definedName name="SCDPT5_502BEGINNG_17" localSheetId="8">GMIC_22A_SCDPT5!$S$92</definedName>
    <definedName name="SCDPT5_502BEGINNG_18" localSheetId="8">GMIC_22A_SCDPT5!$T$92</definedName>
    <definedName name="SCDPT5_502BEGINNG_19" localSheetId="8">GMIC_22A_SCDPT5!$U$92</definedName>
    <definedName name="SCDPT5_502BEGINNG_2" localSheetId="8">GMIC_22A_SCDPT5!$D$92</definedName>
    <definedName name="SCDPT5_502BEGINNG_20" localSheetId="8">GMIC_22A_SCDPT5!$V$92</definedName>
    <definedName name="SCDPT5_502BEGINNG_21" localSheetId="8">GMIC_22A_SCDPT5!$W$92</definedName>
    <definedName name="SCDPT5_502BEGINNG_22" localSheetId="8">GMIC_22A_SCDPT5!$X$92</definedName>
    <definedName name="SCDPT5_502BEGINNG_23" localSheetId="8">GMIC_22A_SCDPT5!$Y$92</definedName>
    <definedName name="SCDPT5_502BEGINNG_24" localSheetId="8">GMIC_22A_SCDPT5!$Z$92</definedName>
    <definedName name="SCDPT5_502BEGINNG_25" localSheetId="8">GMIC_22A_SCDPT5!$AA$92</definedName>
    <definedName name="SCDPT5_502BEGINNG_26" localSheetId="8">GMIC_22A_SCDPT5!$AB$92</definedName>
    <definedName name="SCDPT5_502BEGINNG_27" localSheetId="8">GMIC_22A_SCDPT5!$AC$92</definedName>
    <definedName name="SCDPT5_502BEGINNG_3" localSheetId="8">GMIC_22A_SCDPT5!$E$92</definedName>
    <definedName name="SCDPT5_502BEGINNG_4" localSheetId="8">GMIC_22A_SCDPT5!$F$92</definedName>
    <definedName name="SCDPT5_502BEGINNG_5" localSheetId="8">GMIC_22A_SCDPT5!$G$92</definedName>
    <definedName name="SCDPT5_502BEGINNG_6" localSheetId="8">GMIC_22A_SCDPT5!$H$92</definedName>
    <definedName name="SCDPT5_502BEGINNG_7" localSheetId="8">GMIC_22A_SCDPT5!$I$92</definedName>
    <definedName name="SCDPT5_502BEGINNG_8" localSheetId="8">GMIC_22A_SCDPT5!$J$92</definedName>
    <definedName name="SCDPT5_502BEGINNG_9" localSheetId="8">GMIC_22A_SCDPT5!$K$92</definedName>
    <definedName name="SCDPT5_502ENDINGG_10" localSheetId="8">GMIC_22A_SCDPT5!$L$94</definedName>
    <definedName name="SCDPT5_502ENDINGG_11" localSheetId="8">GMIC_22A_SCDPT5!$M$94</definedName>
    <definedName name="SCDPT5_502ENDINGG_12" localSheetId="8">GMIC_22A_SCDPT5!$N$94</definedName>
    <definedName name="SCDPT5_502ENDINGG_13" localSheetId="8">GMIC_22A_SCDPT5!$O$94</definedName>
    <definedName name="SCDPT5_502ENDINGG_14" localSheetId="8">GMIC_22A_SCDPT5!$P$94</definedName>
    <definedName name="SCDPT5_502ENDINGG_15" localSheetId="8">GMIC_22A_SCDPT5!$Q$94</definedName>
    <definedName name="SCDPT5_502ENDINGG_16" localSheetId="8">GMIC_22A_SCDPT5!$R$94</definedName>
    <definedName name="SCDPT5_502ENDINGG_17" localSheetId="8">GMIC_22A_SCDPT5!$S$94</definedName>
    <definedName name="SCDPT5_502ENDINGG_18" localSheetId="8">GMIC_22A_SCDPT5!$T$94</definedName>
    <definedName name="SCDPT5_502ENDINGG_19" localSheetId="8">GMIC_22A_SCDPT5!$U$94</definedName>
    <definedName name="SCDPT5_502ENDINGG_2" localSheetId="8">GMIC_22A_SCDPT5!$D$94</definedName>
    <definedName name="SCDPT5_502ENDINGG_20" localSheetId="8">GMIC_22A_SCDPT5!$V$94</definedName>
    <definedName name="SCDPT5_502ENDINGG_21" localSheetId="8">GMIC_22A_SCDPT5!$W$94</definedName>
    <definedName name="SCDPT5_502ENDINGG_22" localSheetId="8">GMIC_22A_SCDPT5!$X$94</definedName>
    <definedName name="SCDPT5_502ENDINGG_23" localSheetId="8">GMIC_22A_SCDPT5!$Y$94</definedName>
    <definedName name="SCDPT5_502ENDINGG_24" localSheetId="8">GMIC_22A_SCDPT5!$Z$94</definedName>
    <definedName name="SCDPT5_502ENDINGG_25" localSheetId="8">GMIC_22A_SCDPT5!$AA$94</definedName>
    <definedName name="SCDPT5_502ENDINGG_26" localSheetId="8">GMIC_22A_SCDPT5!$AB$94</definedName>
    <definedName name="SCDPT5_502ENDINGG_27" localSheetId="8">GMIC_22A_SCDPT5!$AC$94</definedName>
    <definedName name="SCDPT5_502ENDINGG_3" localSheetId="8">GMIC_22A_SCDPT5!$E$94</definedName>
    <definedName name="SCDPT5_502ENDINGG_4" localSheetId="8">GMIC_22A_SCDPT5!$F$94</definedName>
    <definedName name="SCDPT5_502ENDINGG_5" localSheetId="8">GMIC_22A_SCDPT5!$G$94</definedName>
    <definedName name="SCDPT5_502ENDINGG_6" localSheetId="8">GMIC_22A_SCDPT5!$H$94</definedName>
    <definedName name="SCDPT5_502ENDINGG_7" localSheetId="8">GMIC_22A_SCDPT5!$I$94</definedName>
    <definedName name="SCDPT5_502ENDINGG_8" localSheetId="8">GMIC_22A_SCDPT5!$J$94</definedName>
    <definedName name="SCDPT5_502ENDINGG_9" localSheetId="8">GMIC_22A_SCDPT5!$K$94</definedName>
    <definedName name="SCDPT5_5310000000_Range" localSheetId="8">GMIC_22A_SCDPT5!$B$96:$AC$98</definedName>
    <definedName name="SCDPT5_5319999999_10" localSheetId="8">GMIC_22A_SCDPT5!$L$99</definedName>
    <definedName name="SCDPT5_5319999999_11" localSheetId="8">GMIC_22A_SCDPT5!$M$99</definedName>
    <definedName name="SCDPT5_5319999999_12" localSheetId="8">GMIC_22A_SCDPT5!$N$99</definedName>
    <definedName name="SCDPT5_5319999999_13" localSheetId="8">GMIC_22A_SCDPT5!$O$99</definedName>
    <definedName name="SCDPT5_5319999999_14" localSheetId="8">GMIC_22A_SCDPT5!$P$99</definedName>
    <definedName name="SCDPT5_5319999999_15" localSheetId="8">GMIC_22A_SCDPT5!$Q$99</definedName>
    <definedName name="SCDPT5_5319999999_16" localSheetId="8">GMIC_22A_SCDPT5!$R$99</definedName>
    <definedName name="SCDPT5_5319999999_17" localSheetId="8">GMIC_22A_SCDPT5!$S$99</definedName>
    <definedName name="SCDPT5_5319999999_18" localSheetId="8">GMIC_22A_SCDPT5!$T$99</definedName>
    <definedName name="SCDPT5_5319999999_19" localSheetId="8">GMIC_22A_SCDPT5!$U$99</definedName>
    <definedName name="SCDPT5_5319999999_20" localSheetId="8">GMIC_22A_SCDPT5!$V$99</definedName>
    <definedName name="SCDPT5_5319999999_21" localSheetId="8">GMIC_22A_SCDPT5!$W$99</definedName>
    <definedName name="SCDPT5_5319999999_9" localSheetId="8">GMIC_22A_SCDPT5!$K$99</definedName>
    <definedName name="SCDPT5_531BEGINNG_1" localSheetId="8">GMIC_22A_SCDPT5!$C$96</definedName>
    <definedName name="SCDPT5_531BEGINNG_10" localSheetId="8">GMIC_22A_SCDPT5!$L$96</definedName>
    <definedName name="SCDPT5_531BEGINNG_11" localSheetId="8">GMIC_22A_SCDPT5!$M$96</definedName>
    <definedName name="SCDPT5_531BEGINNG_12" localSheetId="8">GMIC_22A_SCDPT5!$N$96</definedName>
    <definedName name="SCDPT5_531BEGINNG_13" localSheetId="8">GMIC_22A_SCDPT5!$O$96</definedName>
    <definedName name="SCDPT5_531BEGINNG_14" localSheetId="8">GMIC_22A_SCDPT5!$P$96</definedName>
    <definedName name="SCDPT5_531BEGINNG_15" localSheetId="8">GMIC_22A_SCDPT5!$Q$96</definedName>
    <definedName name="SCDPT5_531BEGINNG_16" localSheetId="8">GMIC_22A_SCDPT5!$R$96</definedName>
    <definedName name="SCDPT5_531BEGINNG_17" localSheetId="8">GMIC_22A_SCDPT5!$S$96</definedName>
    <definedName name="SCDPT5_531BEGINNG_18" localSheetId="8">GMIC_22A_SCDPT5!$T$96</definedName>
    <definedName name="SCDPT5_531BEGINNG_19" localSheetId="8">GMIC_22A_SCDPT5!$U$96</definedName>
    <definedName name="SCDPT5_531BEGINNG_2" localSheetId="8">GMIC_22A_SCDPT5!$D$96</definedName>
    <definedName name="SCDPT5_531BEGINNG_20" localSheetId="8">GMIC_22A_SCDPT5!$V$96</definedName>
    <definedName name="SCDPT5_531BEGINNG_21" localSheetId="8">GMIC_22A_SCDPT5!$W$96</definedName>
    <definedName name="SCDPT5_531BEGINNG_22" localSheetId="8">GMIC_22A_SCDPT5!$X$96</definedName>
    <definedName name="SCDPT5_531BEGINNG_23" localSheetId="8">GMIC_22A_SCDPT5!$Y$96</definedName>
    <definedName name="SCDPT5_531BEGINNG_24" localSheetId="8">GMIC_22A_SCDPT5!$Z$96</definedName>
    <definedName name="SCDPT5_531BEGINNG_25" localSheetId="8">GMIC_22A_SCDPT5!$AA$96</definedName>
    <definedName name="SCDPT5_531BEGINNG_26" localSheetId="8">GMIC_22A_SCDPT5!$AB$96</definedName>
    <definedName name="SCDPT5_531BEGINNG_27" localSheetId="8">GMIC_22A_SCDPT5!$AC$96</definedName>
    <definedName name="SCDPT5_531BEGINNG_3" localSheetId="8">GMIC_22A_SCDPT5!$E$96</definedName>
    <definedName name="SCDPT5_531BEGINNG_4" localSheetId="8">GMIC_22A_SCDPT5!$F$96</definedName>
    <definedName name="SCDPT5_531BEGINNG_5" localSheetId="8">GMIC_22A_SCDPT5!$G$96</definedName>
    <definedName name="SCDPT5_531BEGINNG_6" localSheetId="8">GMIC_22A_SCDPT5!$H$96</definedName>
    <definedName name="SCDPT5_531BEGINNG_7" localSheetId="8">GMIC_22A_SCDPT5!$I$96</definedName>
    <definedName name="SCDPT5_531BEGINNG_8" localSheetId="8">GMIC_22A_SCDPT5!$J$96</definedName>
    <definedName name="SCDPT5_531BEGINNG_9" localSheetId="8">GMIC_22A_SCDPT5!$K$96</definedName>
    <definedName name="SCDPT5_531ENDINGG_10" localSheetId="8">GMIC_22A_SCDPT5!$L$98</definedName>
    <definedName name="SCDPT5_531ENDINGG_11" localSheetId="8">GMIC_22A_SCDPT5!$M$98</definedName>
    <definedName name="SCDPT5_531ENDINGG_12" localSheetId="8">GMIC_22A_SCDPT5!$N$98</definedName>
    <definedName name="SCDPT5_531ENDINGG_13" localSheetId="8">GMIC_22A_SCDPT5!$O$98</definedName>
    <definedName name="SCDPT5_531ENDINGG_14" localSheetId="8">GMIC_22A_SCDPT5!$P$98</definedName>
    <definedName name="SCDPT5_531ENDINGG_15" localSheetId="8">GMIC_22A_SCDPT5!$Q$98</definedName>
    <definedName name="SCDPT5_531ENDINGG_16" localSheetId="8">GMIC_22A_SCDPT5!$R$98</definedName>
    <definedName name="SCDPT5_531ENDINGG_17" localSheetId="8">GMIC_22A_SCDPT5!$S$98</definedName>
    <definedName name="SCDPT5_531ENDINGG_18" localSheetId="8">GMIC_22A_SCDPT5!$T$98</definedName>
    <definedName name="SCDPT5_531ENDINGG_19" localSheetId="8">GMIC_22A_SCDPT5!$U$98</definedName>
    <definedName name="SCDPT5_531ENDINGG_2" localSheetId="8">GMIC_22A_SCDPT5!$D$98</definedName>
    <definedName name="SCDPT5_531ENDINGG_20" localSheetId="8">GMIC_22A_SCDPT5!$V$98</definedName>
    <definedName name="SCDPT5_531ENDINGG_21" localSheetId="8">GMIC_22A_SCDPT5!$W$98</definedName>
    <definedName name="SCDPT5_531ENDINGG_22" localSheetId="8">GMIC_22A_SCDPT5!$X$98</definedName>
    <definedName name="SCDPT5_531ENDINGG_23" localSheetId="8">GMIC_22A_SCDPT5!$Y$98</definedName>
    <definedName name="SCDPT5_531ENDINGG_24" localSheetId="8">GMIC_22A_SCDPT5!$Z$98</definedName>
    <definedName name="SCDPT5_531ENDINGG_25" localSheetId="8">GMIC_22A_SCDPT5!$AA$98</definedName>
    <definedName name="SCDPT5_531ENDINGG_26" localSheetId="8">GMIC_22A_SCDPT5!$AB$98</definedName>
    <definedName name="SCDPT5_531ENDINGG_27" localSheetId="8">GMIC_22A_SCDPT5!$AC$98</definedName>
    <definedName name="SCDPT5_531ENDINGG_3" localSheetId="8">GMIC_22A_SCDPT5!$E$98</definedName>
    <definedName name="SCDPT5_531ENDINGG_4" localSheetId="8">GMIC_22A_SCDPT5!$F$98</definedName>
    <definedName name="SCDPT5_531ENDINGG_5" localSheetId="8">GMIC_22A_SCDPT5!$G$98</definedName>
    <definedName name="SCDPT5_531ENDINGG_6" localSheetId="8">GMIC_22A_SCDPT5!$H$98</definedName>
    <definedName name="SCDPT5_531ENDINGG_7" localSheetId="8">GMIC_22A_SCDPT5!$I$98</definedName>
    <definedName name="SCDPT5_531ENDINGG_8" localSheetId="8">GMIC_22A_SCDPT5!$J$98</definedName>
    <definedName name="SCDPT5_531ENDINGG_9" localSheetId="8">GMIC_22A_SCDPT5!$K$98</definedName>
    <definedName name="SCDPT5_5320000000_Range" localSheetId="8">GMIC_22A_SCDPT5!$B$100:$AC$102</definedName>
    <definedName name="SCDPT5_5329999999_10" localSheetId="8">GMIC_22A_SCDPT5!$L$103</definedName>
    <definedName name="SCDPT5_5329999999_11" localSheetId="8">GMIC_22A_SCDPT5!$M$103</definedName>
    <definedName name="SCDPT5_5329999999_12" localSheetId="8">GMIC_22A_SCDPT5!$N$103</definedName>
    <definedName name="SCDPT5_5329999999_13" localSheetId="8">GMIC_22A_SCDPT5!$O$103</definedName>
    <definedName name="SCDPT5_5329999999_14" localSheetId="8">GMIC_22A_SCDPT5!$P$103</definedName>
    <definedName name="SCDPT5_5329999999_15" localSheetId="8">GMIC_22A_SCDPT5!$Q$103</definedName>
    <definedName name="SCDPT5_5329999999_16" localSheetId="8">GMIC_22A_SCDPT5!$R$103</definedName>
    <definedName name="SCDPT5_5329999999_17" localSheetId="8">GMIC_22A_SCDPT5!$S$103</definedName>
    <definedName name="SCDPT5_5329999999_18" localSheetId="8">GMIC_22A_SCDPT5!$T$103</definedName>
    <definedName name="SCDPT5_5329999999_19" localSheetId="8">GMIC_22A_SCDPT5!$U$103</definedName>
    <definedName name="SCDPT5_5329999999_20" localSheetId="8">GMIC_22A_SCDPT5!$V$103</definedName>
    <definedName name="SCDPT5_5329999999_21" localSheetId="8">GMIC_22A_SCDPT5!$W$103</definedName>
    <definedName name="SCDPT5_5329999999_9" localSheetId="8">GMIC_22A_SCDPT5!$K$103</definedName>
    <definedName name="SCDPT5_532BEGINNG_1" localSheetId="8">GMIC_22A_SCDPT5!$C$100</definedName>
    <definedName name="SCDPT5_532BEGINNG_10" localSheetId="8">GMIC_22A_SCDPT5!$L$100</definedName>
    <definedName name="SCDPT5_532BEGINNG_11" localSheetId="8">GMIC_22A_SCDPT5!$M$100</definedName>
    <definedName name="SCDPT5_532BEGINNG_12" localSheetId="8">GMIC_22A_SCDPT5!$N$100</definedName>
    <definedName name="SCDPT5_532BEGINNG_13" localSheetId="8">GMIC_22A_SCDPT5!$O$100</definedName>
    <definedName name="SCDPT5_532BEGINNG_14" localSheetId="8">GMIC_22A_SCDPT5!$P$100</definedName>
    <definedName name="SCDPT5_532BEGINNG_15" localSheetId="8">GMIC_22A_SCDPT5!$Q$100</definedName>
    <definedName name="SCDPT5_532BEGINNG_16" localSheetId="8">GMIC_22A_SCDPT5!$R$100</definedName>
    <definedName name="SCDPT5_532BEGINNG_17" localSheetId="8">GMIC_22A_SCDPT5!$S$100</definedName>
    <definedName name="SCDPT5_532BEGINNG_18" localSheetId="8">GMIC_22A_SCDPT5!$T$100</definedName>
    <definedName name="SCDPT5_532BEGINNG_19" localSheetId="8">GMIC_22A_SCDPT5!$U$100</definedName>
    <definedName name="SCDPT5_532BEGINNG_2" localSheetId="8">GMIC_22A_SCDPT5!$D$100</definedName>
    <definedName name="SCDPT5_532BEGINNG_20" localSheetId="8">GMIC_22A_SCDPT5!$V$100</definedName>
    <definedName name="SCDPT5_532BEGINNG_21" localSheetId="8">GMIC_22A_SCDPT5!$W$100</definedName>
    <definedName name="SCDPT5_532BEGINNG_22" localSheetId="8">GMIC_22A_SCDPT5!$X$100</definedName>
    <definedName name="SCDPT5_532BEGINNG_23" localSheetId="8">GMIC_22A_SCDPT5!$Y$100</definedName>
    <definedName name="SCDPT5_532BEGINNG_24" localSheetId="8">GMIC_22A_SCDPT5!$Z$100</definedName>
    <definedName name="SCDPT5_532BEGINNG_25" localSheetId="8">GMIC_22A_SCDPT5!$AA$100</definedName>
    <definedName name="SCDPT5_532BEGINNG_26" localSheetId="8">GMIC_22A_SCDPT5!$AB$100</definedName>
    <definedName name="SCDPT5_532BEGINNG_27" localSheetId="8">GMIC_22A_SCDPT5!$AC$100</definedName>
    <definedName name="SCDPT5_532BEGINNG_3" localSheetId="8">GMIC_22A_SCDPT5!$E$100</definedName>
    <definedName name="SCDPT5_532BEGINNG_4" localSheetId="8">GMIC_22A_SCDPT5!$F$100</definedName>
    <definedName name="SCDPT5_532BEGINNG_5" localSheetId="8">GMIC_22A_SCDPT5!$G$100</definedName>
    <definedName name="SCDPT5_532BEGINNG_6" localSheetId="8">GMIC_22A_SCDPT5!$H$100</definedName>
    <definedName name="SCDPT5_532BEGINNG_7" localSheetId="8">GMIC_22A_SCDPT5!$I$100</definedName>
    <definedName name="SCDPT5_532BEGINNG_8" localSheetId="8">GMIC_22A_SCDPT5!$J$100</definedName>
    <definedName name="SCDPT5_532BEGINNG_9" localSheetId="8">GMIC_22A_SCDPT5!$K$100</definedName>
    <definedName name="SCDPT5_532ENDINGG_10" localSheetId="8">GMIC_22A_SCDPT5!$L$102</definedName>
    <definedName name="SCDPT5_532ENDINGG_11" localSheetId="8">GMIC_22A_SCDPT5!$M$102</definedName>
    <definedName name="SCDPT5_532ENDINGG_12" localSheetId="8">GMIC_22A_SCDPT5!$N$102</definedName>
    <definedName name="SCDPT5_532ENDINGG_13" localSheetId="8">GMIC_22A_SCDPT5!$O$102</definedName>
    <definedName name="SCDPT5_532ENDINGG_14" localSheetId="8">GMIC_22A_SCDPT5!$P$102</definedName>
    <definedName name="SCDPT5_532ENDINGG_15" localSheetId="8">GMIC_22A_SCDPT5!$Q$102</definedName>
    <definedName name="SCDPT5_532ENDINGG_16" localSheetId="8">GMIC_22A_SCDPT5!$R$102</definedName>
    <definedName name="SCDPT5_532ENDINGG_17" localSheetId="8">GMIC_22A_SCDPT5!$S$102</definedName>
    <definedName name="SCDPT5_532ENDINGG_18" localSheetId="8">GMIC_22A_SCDPT5!$T$102</definedName>
    <definedName name="SCDPT5_532ENDINGG_19" localSheetId="8">GMIC_22A_SCDPT5!$U$102</definedName>
    <definedName name="SCDPT5_532ENDINGG_2" localSheetId="8">GMIC_22A_SCDPT5!$D$102</definedName>
    <definedName name="SCDPT5_532ENDINGG_20" localSheetId="8">GMIC_22A_SCDPT5!$V$102</definedName>
    <definedName name="SCDPT5_532ENDINGG_21" localSheetId="8">GMIC_22A_SCDPT5!$W$102</definedName>
    <definedName name="SCDPT5_532ENDINGG_22" localSheetId="8">GMIC_22A_SCDPT5!$X$102</definedName>
    <definedName name="SCDPT5_532ENDINGG_23" localSheetId="8">GMIC_22A_SCDPT5!$Y$102</definedName>
    <definedName name="SCDPT5_532ENDINGG_24" localSheetId="8">GMIC_22A_SCDPT5!$Z$102</definedName>
    <definedName name="SCDPT5_532ENDINGG_25" localSheetId="8">GMIC_22A_SCDPT5!$AA$102</definedName>
    <definedName name="SCDPT5_532ENDINGG_26" localSheetId="8">GMIC_22A_SCDPT5!$AB$102</definedName>
    <definedName name="SCDPT5_532ENDINGG_27" localSheetId="8">GMIC_22A_SCDPT5!$AC$102</definedName>
    <definedName name="SCDPT5_532ENDINGG_3" localSheetId="8">GMIC_22A_SCDPT5!$E$102</definedName>
    <definedName name="SCDPT5_532ENDINGG_4" localSheetId="8">GMIC_22A_SCDPT5!$F$102</definedName>
    <definedName name="SCDPT5_532ENDINGG_5" localSheetId="8">GMIC_22A_SCDPT5!$G$102</definedName>
    <definedName name="SCDPT5_532ENDINGG_6" localSheetId="8">GMIC_22A_SCDPT5!$H$102</definedName>
    <definedName name="SCDPT5_532ENDINGG_7" localSheetId="8">GMIC_22A_SCDPT5!$I$102</definedName>
    <definedName name="SCDPT5_532ENDINGG_8" localSheetId="8">GMIC_22A_SCDPT5!$J$102</definedName>
    <definedName name="SCDPT5_532ENDINGG_9" localSheetId="8">GMIC_22A_SCDPT5!$K$102</definedName>
    <definedName name="SCDPT5_5510000000_Range" localSheetId="8">GMIC_22A_SCDPT5!$B$104:$AC$106</definedName>
    <definedName name="SCDPT5_5519999999_10" localSheetId="8">GMIC_22A_SCDPT5!$L$107</definedName>
    <definedName name="SCDPT5_5519999999_11" localSheetId="8">GMIC_22A_SCDPT5!$M$107</definedName>
    <definedName name="SCDPT5_5519999999_12" localSheetId="8">GMIC_22A_SCDPT5!$N$107</definedName>
    <definedName name="SCDPT5_5519999999_13" localSheetId="8">GMIC_22A_SCDPT5!$O$107</definedName>
    <definedName name="SCDPT5_5519999999_14" localSheetId="8">GMIC_22A_SCDPT5!$P$107</definedName>
    <definedName name="SCDPT5_5519999999_15" localSheetId="8">GMIC_22A_SCDPT5!$Q$107</definedName>
    <definedName name="SCDPT5_5519999999_16" localSheetId="8">GMIC_22A_SCDPT5!$R$107</definedName>
    <definedName name="SCDPT5_5519999999_17" localSheetId="8">GMIC_22A_SCDPT5!$S$107</definedName>
    <definedName name="SCDPT5_5519999999_18" localSheetId="8">GMIC_22A_SCDPT5!$T$107</definedName>
    <definedName name="SCDPT5_5519999999_19" localSheetId="8">GMIC_22A_SCDPT5!$U$107</definedName>
    <definedName name="SCDPT5_5519999999_20" localSheetId="8">GMIC_22A_SCDPT5!$V$107</definedName>
    <definedName name="SCDPT5_5519999999_21" localSheetId="8">GMIC_22A_SCDPT5!$W$107</definedName>
    <definedName name="SCDPT5_5519999999_9" localSheetId="8">GMIC_22A_SCDPT5!$K$107</definedName>
    <definedName name="SCDPT5_551BEGINNG_1" localSheetId="8">GMIC_22A_SCDPT5!$C$104</definedName>
    <definedName name="SCDPT5_551BEGINNG_10" localSheetId="8">GMIC_22A_SCDPT5!$L$104</definedName>
    <definedName name="SCDPT5_551BEGINNG_11" localSheetId="8">GMIC_22A_SCDPT5!$M$104</definedName>
    <definedName name="SCDPT5_551BEGINNG_12" localSheetId="8">GMIC_22A_SCDPT5!$N$104</definedName>
    <definedName name="SCDPT5_551BEGINNG_13" localSheetId="8">GMIC_22A_SCDPT5!$O$104</definedName>
    <definedName name="SCDPT5_551BEGINNG_14" localSheetId="8">GMIC_22A_SCDPT5!$P$104</definedName>
    <definedName name="SCDPT5_551BEGINNG_15" localSheetId="8">GMIC_22A_SCDPT5!$Q$104</definedName>
    <definedName name="SCDPT5_551BEGINNG_16" localSheetId="8">GMIC_22A_SCDPT5!$R$104</definedName>
    <definedName name="SCDPT5_551BEGINNG_17" localSheetId="8">GMIC_22A_SCDPT5!$S$104</definedName>
    <definedName name="SCDPT5_551BEGINNG_18" localSheetId="8">GMIC_22A_SCDPT5!$T$104</definedName>
    <definedName name="SCDPT5_551BEGINNG_19" localSheetId="8">GMIC_22A_SCDPT5!$U$104</definedName>
    <definedName name="SCDPT5_551BEGINNG_2" localSheetId="8">GMIC_22A_SCDPT5!$D$104</definedName>
    <definedName name="SCDPT5_551BEGINNG_20" localSheetId="8">GMIC_22A_SCDPT5!$V$104</definedName>
    <definedName name="SCDPT5_551BEGINNG_21" localSheetId="8">GMIC_22A_SCDPT5!$W$104</definedName>
    <definedName name="SCDPT5_551BEGINNG_22" localSheetId="8">GMIC_22A_SCDPT5!$X$104</definedName>
    <definedName name="SCDPT5_551BEGINNG_23" localSheetId="8">GMIC_22A_SCDPT5!$Y$104</definedName>
    <definedName name="SCDPT5_551BEGINNG_24" localSheetId="8">GMIC_22A_SCDPT5!$Z$104</definedName>
    <definedName name="SCDPT5_551BEGINNG_25" localSheetId="8">GMIC_22A_SCDPT5!$AA$104</definedName>
    <definedName name="SCDPT5_551BEGINNG_26" localSheetId="8">GMIC_22A_SCDPT5!$AB$104</definedName>
    <definedName name="SCDPT5_551BEGINNG_27" localSheetId="8">GMIC_22A_SCDPT5!$AC$104</definedName>
    <definedName name="SCDPT5_551BEGINNG_3" localSheetId="8">GMIC_22A_SCDPT5!$E$104</definedName>
    <definedName name="SCDPT5_551BEGINNG_4" localSheetId="8">GMIC_22A_SCDPT5!$F$104</definedName>
    <definedName name="SCDPT5_551BEGINNG_5" localSheetId="8">GMIC_22A_SCDPT5!$G$104</definedName>
    <definedName name="SCDPT5_551BEGINNG_6" localSheetId="8">GMIC_22A_SCDPT5!$H$104</definedName>
    <definedName name="SCDPT5_551BEGINNG_7" localSheetId="8">GMIC_22A_SCDPT5!$I$104</definedName>
    <definedName name="SCDPT5_551BEGINNG_8" localSheetId="8">GMIC_22A_SCDPT5!$J$104</definedName>
    <definedName name="SCDPT5_551BEGINNG_9" localSheetId="8">GMIC_22A_SCDPT5!$K$104</definedName>
    <definedName name="SCDPT5_551ENDINGG_10" localSheetId="8">GMIC_22A_SCDPT5!$L$106</definedName>
    <definedName name="SCDPT5_551ENDINGG_11" localSheetId="8">GMIC_22A_SCDPT5!$M$106</definedName>
    <definedName name="SCDPT5_551ENDINGG_12" localSheetId="8">GMIC_22A_SCDPT5!$N$106</definedName>
    <definedName name="SCDPT5_551ENDINGG_13" localSheetId="8">GMIC_22A_SCDPT5!$O$106</definedName>
    <definedName name="SCDPT5_551ENDINGG_14" localSheetId="8">GMIC_22A_SCDPT5!$P$106</definedName>
    <definedName name="SCDPT5_551ENDINGG_15" localSheetId="8">GMIC_22A_SCDPT5!$Q$106</definedName>
    <definedName name="SCDPT5_551ENDINGG_16" localSheetId="8">GMIC_22A_SCDPT5!$R$106</definedName>
    <definedName name="SCDPT5_551ENDINGG_17" localSheetId="8">GMIC_22A_SCDPT5!$S$106</definedName>
    <definedName name="SCDPT5_551ENDINGG_18" localSheetId="8">GMIC_22A_SCDPT5!$T$106</definedName>
    <definedName name="SCDPT5_551ENDINGG_19" localSheetId="8">GMIC_22A_SCDPT5!$U$106</definedName>
    <definedName name="SCDPT5_551ENDINGG_2" localSheetId="8">GMIC_22A_SCDPT5!$D$106</definedName>
    <definedName name="SCDPT5_551ENDINGG_20" localSheetId="8">GMIC_22A_SCDPT5!$V$106</definedName>
    <definedName name="SCDPT5_551ENDINGG_21" localSheetId="8">GMIC_22A_SCDPT5!$W$106</definedName>
    <definedName name="SCDPT5_551ENDINGG_22" localSheetId="8">GMIC_22A_SCDPT5!$X$106</definedName>
    <definedName name="SCDPT5_551ENDINGG_23" localSheetId="8">GMIC_22A_SCDPT5!$Y$106</definedName>
    <definedName name="SCDPT5_551ENDINGG_24" localSheetId="8">GMIC_22A_SCDPT5!$Z$106</definedName>
    <definedName name="SCDPT5_551ENDINGG_25" localSheetId="8">GMIC_22A_SCDPT5!$AA$106</definedName>
    <definedName name="SCDPT5_551ENDINGG_26" localSheetId="8">GMIC_22A_SCDPT5!$AB$106</definedName>
    <definedName name="SCDPT5_551ENDINGG_27" localSheetId="8">GMIC_22A_SCDPT5!$AC$106</definedName>
    <definedName name="SCDPT5_551ENDINGG_3" localSheetId="8">GMIC_22A_SCDPT5!$E$106</definedName>
    <definedName name="SCDPT5_551ENDINGG_4" localSheetId="8">GMIC_22A_SCDPT5!$F$106</definedName>
    <definedName name="SCDPT5_551ENDINGG_5" localSheetId="8">GMIC_22A_SCDPT5!$G$106</definedName>
    <definedName name="SCDPT5_551ENDINGG_6" localSheetId="8">GMIC_22A_SCDPT5!$H$106</definedName>
    <definedName name="SCDPT5_551ENDINGG_7" localSheetId="8">GMIC_22A_SCDPT5!$I$106</definedName>
    <definedName name="SCDPT5_551ENDINGG_8" localSheetId="8">GMIC_22A_SCDPT5!$J$106</definedName>
    <definedName name="SCDPT5_551ENDINGG_9" localSheetId="8">GMIC_22A_SCDPT5!$K$106</definedName>
    <definedName name="SCDPT5_5520000000_Range" localSheetId="8">GMIC_22A_SCDPT5!$B$108:$AC$110</definedName>
    <definedName name="SCDPT5_5529999999_10" localSheetId="8">GMIC_22A_SCDPT5!$L$111</definedName>
    <definedName name="SCDPT5_5529999999_11" localSheetId="8">GMIC_22A_SCDPT5!$M$111</definedName>
    <definedName name="SCDPT5_5529999999_12" localSheetId="8">GMIC_22A_SCDPT5!$N$111</definedName>
    <definedName name="SCDPT5_5529999999_13" localSheetId="8">GMIC_22A_SCDPT5!$O$111</definedName>
    <definedName name="SCDPT5_5529999999_14" localSheetId="8">GMIC_22A_SCDPT5!$P$111</definedName>
    <definedName name="SCDPT5_5529999999_15" localSheetId="8">GMIC_22A_SCDPT5!$Q$111</definedName>
    <definedName name="SCDPT5_5529999999_16" localSheetId="8">GMIC_22A_SCDPT5!$R$111</definedName>
    <definedName name="SCDPT5_5529999999_17" localSheetId="8">GMIC_22A_SCDPT5!$S$111</definedName>
    <definedName name="SCDPT5_5529999999_18" localSheetId="8">GMIC_22A_SCDPT5!$T$111</definedName>
    <definedName name="SCDPT5_5529999999_19" localSheetId="8">GMIC_22A_SCDPT5!$U$111</definedName>
    <definedName name="SCDPT5_5529999999_20" localSheetId="8">GMIC_22A_SCDPT5!$V$111</definedName>
    <definedName name="SCDPT5_5529999999_21" localSheetId="8">GMIC_22A_SCDPT5!$W$111</definedName>
    <definedName name="SCDPT5_5529999999_9" localSheetId="8">GMIC_22A_SCDPT5!$K$111</definedName>
    <definedName name="SCDPT5_552BEGINNG_1" localSheetId="8">GMIC_22A_SCDPT5!$C$108</definedName>
    <definedName name="SCDPT5_552BEGINNG_10" localSheetId="8">GMIC_22A_SCDPT5!$L$108</definedName>
    <definedName name="SCDPT5_552BEGINNG_11" localSheetId="8">GMIC_22A_SCDPT5!$M$108</definedName>
    <definedName name="SCDPT5_552BEGINNG_12" localSheetId="8">GMIC_22A_SCDPT5!$N$108</definedName>
    <definedName name="SCDPT5_552BEGINNG_13" localSheetId="8">GMIC_22A_SCDPT5!$O$108</definedName>
    <definedName name="SCDPT5_552BEGINNG_14" localSheetId="8">GMIC_22A_SCDPT5!$P$108</definedName>
    <definedName name="SCDPT5_552BEGINNG_15" localSheetId="8">GMIC_22A_SCDPT5!$Q$108</definedName>
    <definedName name="SCDPT5_552BEGINNG_16" localSheetId="8">GMIC_22A_SCDPT5!$R$108</definedName>
    <definedName name="SCDPT5_552BEGINNG_17" localSheetId="8">GMIC_22A_SCDPT5!$S$108</definedName>
    <definedName name="SCDPT5_552BEGINNG_18" localSheetId="8">GMIC_22A_SCDPT5!$T$108</definedName>
    <definedName name="SCDPT5_552BEGINNG_19" localSheetId="8">GMIC_22A_SCDPT5!$U$108</definedName>
    <definedName name="SCDPT5_552BEGINNG_2" localSheetId="8">GMIC_22A_SCDPT5!$D$108</definedName>
    <definedName name="SCDPT5_552BEGINNG_20" localSheetId="8">GMIC_22A_SCDPT5!$V$108</definedName>
    <definedName name="SCDPT5_552BEGINNG_21" localSheetId="8">GMIC_22A_SCDPT5!$W$108</definedName>
    <definedName name="SCDPT5_552BEGINNG_22" localSheetId="8">GMIC_22A_SCDPT5!$X$108</definedName>
    <definedName name="SCDPT5_552BEGINNG_23" localSheetId="8">GMIC_22A_SCDPT5!$Y$108</definedName>
    <definedName name="SCDPT5_552BEGINNG_24" localSheetId="8">GMIC_22A_SCDPT5!$Z$108</definedName>
    <definedName name="SCDPT5_552BEGINNG_25" localSheetId="8">GMIC_22A_SCDPT5!$AA$108</definedName>
    <definedName name="SCDPT5_552BEGINNG_26" localSheetId="8">GMIC_22A_SCDPT5!$AB$108</definedName>
    <definedName name="SCDPT5_552BEGINNG_27" localSheetId="8">GMIC_22A_SCDPT5!$AC$108</definedName>
    <definedName name="SCDPT5_552BEGINNG_3" localSheetId="8">GMIC_22A_SCDPT5!$E$108</definedName>
    <definedName name="SCDPT5_552BEGINNG_4" localSheetId="8">GMIC_22A_SCDPT5!$F$108</definedName>
    <definedName name="SCDPT5_552BEGINNG_5" localSheetId="8">GMIC_22A_SCDPT5!$G$108</definedName>
    <definedName name="SCDPT5_552BEGINNG_6" localSheetId="8">GMIC_22A_SCDPT5!$H$108</definedName>
    <definedName name="SCDPT5_552BEGINNG_7" localSheetId="8">GMIC_22A_SCDPT5!$I$108</definedName>
    <definedName name="SCDPT5_552BEGINNG_8" localSheetId="8">GMIC_22A_SCDPT5!$J$108</definedName>
    <definedName name="SCDPT5_552BEGINNG_9" localSheetId="8">GMIC_22A_SCDPT5!$K$108</definedName>
    <definedName name="SCDPT5_552ENDINGG_10" localSheetId="8">GMIC_22A_SCDPT5!$L$110</definedName>
    <definedName name="SCDPT5_552ENDINGG_11" localSheetId="8">GMIC_22A_SCDPT5!$M$110</definedName>
    <definedName name="SCDPT5_552ENDINGG_12" localSheetId="8">GMIC_22A_SCDPT5!$N$110</definedName>
    <definedName name="SCDPT5_552ENDINGG_13" localSheetId="8">GMIC_22A_SCDPT5!$O$110</definedName>
    <definedName name="SCDPT5_552ENDINGG_14" localSheetId="8">GMIC_22A_SCDPT5!$P$110</definedName>
    <definedName name="SCDPT5_552ENDINGG_15" localSheetId="8">GMIC_22A_SCDPT5!$Q$110</definedName>
    <definedName name="SCDPT5_552ENDINGG_16" localSheetId="8">GMIC_22A_SCDPT5!$R$110</definedName>
    <definedName name="SCDPT5_552ENDINGG_17" localSheetId="8">GMIC_22A_SCDPT5!$S$110</definedName>
    <definedName name="SCDPT5_552ENDINGG_18" localSheetId="8">GMIC_22A_SCDPT5!$T$110</definedName>
    <definedName name="SCDPT5_552ENDINGG_19" localSheetId="8">GMIC_22A_SCDPT5!$U$110</definedName>
    <definedName name="SCDPT5_552ENDINGG_2" localSheetId="8">GMIC_22A_SCDPT5!$D$110</definedName>
    <definedName name="SCDPT5_552ENDINGG_20" localSheetId="8">GMIC_22A_SCDPT5!$V$110</definedName>
    <definedName name="SCDPT5_552ENDINGG_21" localSheetId="8">GMIC_22A_SCDPT5!$W$110</definedName>
    <definedName name="SCDPT5_552ENDINGG_22" localSheetId="8">GMIC_22A_SCDPT5!$X$110</definedName>
    <definedName name="SCDPT5_552ENDINGG_23" localSheetId="8">GMIC_22A_SCDPT5!$Y$110</definedName>
    <definedName name="SCDPT5_552ENDINGG_24" localSheetId="8">GMIC_22A_SCDPT5!$Z$110</definedName>
    <definedName name="SCDPT5_552ENDINGG_25" localSheetId="8">GMIC_22A_SCDPT5!$AA$110</definedName>
    <definedName name="SCDPT5_552ENDINGG_26" localSheetId="8">GMIC_22A_SCDPT5!$AB$110</definedName>
    <definedName name="SCDPT5_552ENDINGG_27" localSheetId="8">GMIC_22A_SCDPT5!$AC$110</definedName>
    <definedName name="SCDPT5_552ENDINGG_3" localSheetId="8">GMIC_22A_SCDPT5!$E$110</definedName>
    <definedName name="SCDPT5_552ENDINGG_4" localSheetId="8">GMIC_22A_SCDPT5!$F$110</definedName>
    <definedName name="SCDPT5_552ENDINGG_5" localSheetId="8">GMIC_22A_SCDPT5!$G$110</definedName>
    <definedName name="SCDPT5_552ENDINGG_6" localSheetId="8">GMIC_22A_SCDPT5!$H$110</definedName>
    <definedName name="SCDPT5_552ENDINGG_7" localSheetId="8">GMIC_22A_SCDPT5!$I$110</definedName>
    <definedName name="SCDPT5_552ENDINGG_8" localSheetId="8">GMIC_22A_SCDPT5!$J$110</definedName>
    <definedName name="SCDPT5_552ENDINGG_9" localSheetId="8">GMIC_22A_SCDPT5!$K$110</definedName>
    <definedName name="SCDPT5_5710000000_Range" localSheetId="8">GMIC_22A_SCDPT5!$B$112:$AC$114</definedName>
    <definedName name="SCDPT5_5719999999_10" localSheetId="8">GMIC_22A_SCDPT5!$L$115</definedName>
    <definedName name="SCDPT5_5719999999_11" localSheetId="8">GMIC_22A_SCDPT5!$M$115</definedName>
    <definedName name="SCDPT5_5719999999_12" localSheetId="8">GMIC_22A_SCDPT5!$N$115</definedName>
    <definedName name="SCDPT5_5719999999_13" localSheetId="8">GMIC_22A_SCDPT5!$O$115</definedName>
    <definedName name="SCDPT5_5719999999_14" localSheetId="8">GMIC_22A_SCDPT5!$P$115</definedName>
    <definedName name="SCDPT5_5719999999_15" localSheetId="8">GMIC_22A_SCDPT5!$Q$115</definedName>
    <definedName name="SCDPT5_5719999999_16" localSheetId="8">GMIC_22A_SCDPT5!$R$115</definedName>
    <definedName name="SCDPT5_5719999999_17" localSheetId="8">GMIC_22A_SCDPT5!$S$115</definedName>
    <definedName name="SCDPT5_5719999999_18" localSheetId="8">GMIC_22A_SCDPT5!$T$115</definedName>
    <definedName name="SCDPT5_5719999999_19" localSheetId="8">GMIC_22A_SCDPT5!$U$115</definedName>
    <definedName name="SCDPT5_5719999999_20" localSheetId="8">GMIC_22A_SCDPT5!$V$115</definedName>
    <definedName name="SCDPT5_5719999999_21" localSheetId="8">GMIC_22A_SCDPT5!$W$115</definedName>
    <definedName name="SCDPT5_5719999999_9" localSheetId="8">GMIC_22A_SCDPT5!$K$115</definedName>
    <definedName name="SCDPT5_571BEGINNG_1" localSheetId="8">GMIC_22A_SCDPT5!$C$112</definedName>
    <definedName name="SCDPT5_571BEGINNG_10" localSheetId="8">GMIC_22A_SCDPT5!$L$112</definedName>
    <definedName name="SCDPT5_571BEGINNG_11" localSheetId="8">GMIC_22A_SCDPT5!$M$112</definedName>
    <definedName name="SCDPT5_571BEGINNG_12" localSheetId="8">GMIC_22A_SCDPT5!$N$112</definedName>
    <definedName name="SCDPT5_571BEGINNG_13" localSheetId="8">GMIC_22A_SCDPT5!$O$112</definedName>
    <definedName name="SCDPT5_571BEGINNG_14" localSheetId="8">GMIC_22A_SCDPT5!$P$112</definedName>
    <definedName name="SCDPT5_571BEGINNG_15" localSheetId="8">GMIC_22A_SCDPT5!$Q$112</definedName>
    <definedName name="SCDPT5_571BEGINNG_16" localSheetId="8">GMIC_22A_SCDPT5!$R$112</definedName>
    <definedName name="SCDPT5_571BEGINNG_17" localSheetId="8">GMIC_22A_SCDPT5!$S$112</definedName>
    <definedName name="SCDPT5_571BEGINNG_18" localSheetId="8">GMIC_22A_SCDPT5!$T$112</definedName>
    <definedName name="SCDPT5_571BEGINNG_19" localSheetId="8">GMIC_22A_SCDPT5!$U$112</definedName>
    <definedName name="SCDPT5_571BEGINNG_2" localSheetId="8">GMIC_22A_SCDPT5!$D$112</definedName>
    <definedName name="SCDPT5_571BEGINNG_20" localSheetId="8">GMIC_22A_SCDPT5!$V$112</definedName>
    <definedName name="SCDPT5_571BEGINNG_21" localSheetId="8">GMIC_22A_SCDPT5!$W$112</definedName>
    <definedName name="SCDPT5_571BEGINNG_22" localSheetId="8">GMIC_22A_SCDPT5!$X$112</definedName>
    <definedName name="SCDPT5_571BEGINNG_23" localSheetId="8">GMIC_22A_SCDPT5!$Y$112</definedName>
    <definedName name="SCDPT5_571BEGINNG_24" localSheetId="8">GMIC_22A_SCDPT5!$Z$112</definedName>
    <definedName name="SCDPT5_571BEGINNG_25" localSheetId="8">GMIC_22A_SCDPT5!$AA$112</definedName>
    <definedName name="SCDPT5_571BEGINNG_26" localSheetId="8">GMIC_22A_SCDPT5!$AB$112</definedName>
    <definedName name="SCDPT5_571BEGINNG_27" localSheetId="8">GMIC_22A_SCDPT5!$AC$112</definedName>
    <definedName name="SCDPT5_571BEGINNG_3" localSheetId="8">GMIC_22A_SCDPT5!$E$112</definedName>
    <definedName name="SCDPT5_571BEGINNG_4" localSheetId="8">GMIC_22A_SCDPT5!$F$112</definedName>
    <definedName name="SCDPT5_571BEGINNG_5" localSheetId="8">GMIC_22A_SCDPT5!$G$112</definedName>
    <definedName name="SCDPT5_571BEGINNG_6" localSheetId="8">GMIC_22A_SCDPT5!$H$112</definedName>
    <definedName name="SCDPT5_571BEGINNG_7" localSheetId="8">GMIC_22A_SCDPT5!$I$112</definedName>
    <definedName name="SCDPT5_571BEGINNG_8" localSheetId="8">GMIC_22A_SCDPT5!$J$112</definedName>
    <definedName name="SCDPT5_571BEGINNG_9" localSheetId="8">GMIC_22A_SCDPT5!$K$112</definedName>
    <definedName name="SCDPT5_571ENDINGG_10" localSheetId="8">GMIC_22A_SCDPT5!$L$114</definedName>
    <definedName name="SCDPT5_571ENDINGG_11" localSheetId="8">GMIC_22A_SCDPT5!$M$114</definedName>
    <definedName name="SCDPT5_571ENDINGG_12" localSheetId="8">GMIC_22A_SCDPT5!$N$114</definedName>
    <definedName name="SCDPT5_571ENDINGG_13" localSheetId="8">GMIC_22A_SCDPT5!$O$114</definedName>
    <definedName name="SCDPT5_571ENDINGG_14" localSheetId="8">GMIC_22A_SCDPT5!$P$114</definedName>
    <definedName name="SCDPT5_571ENDINGG_15" localSheetId="8">GMIC_22A_SCDPT5!$Q$114</definedName>
    <definedName name="SCDPT5_571ENDINGG_16" localSheetId="8">GMIC_22A_SCDPT5!$R$114</definedName>
    <definedName name="SCDPT5_571ENDINGG_17" localSheetId="8">GMIC_22A_SCDPT5!$S$114</definedName>
    <definedName name="SCDPT5_571ENDINGG_18" localSheetId="8">GMIC_22A_SCDPT5!$T$114</definedName>
    <definedName name="SCDPT5_571ENDINGG_19" localSheetId="8">GMIC_22A_SCDPT5!$U$114</definedName>
    <definedName name="SCDPT5_571ENDINGG_2" localSheetId="8">GMIC_22A_SCDPT5!$D$114</definedName>
    <definedName name="SCDPT5_571ENDINGG_20" localSheetId="8">GMIC_22A_SCDPT5!$V$114</definedName>
    <definedName name="SCDPT5_571ENDINGG_21" localSheetId="8">GMIC_22A_SCDPT5!$W$114</definedName>
    <definedName name="SCDPT5_571ENDINGG_22" localSheetId="8">GMIC_22A_SCDPT5!$X$114</definedName>
    <definedName name="SCDPT5_571ENDINGG_23" localSheetId="8">GMIC_22A_SCDPT5!$Y$114</definedName>
    <definedName name="SCDPT5_571ENDINGG_24" localSheetId="8">GMIC_22A_SCDPT5!$Z$114</definedName>
    <definedName name="SCDPT5_571ENDINGG_25" localSheetId="8">GMIC_22A_SCDPT5!$AA$114</definedName>
    <definedName name="SCDPT5_571ENDINGG_26" localSheetId="8">GMIC_22A_SCDPT5!$AB$114</definedName>
    <definedName name="SCDPT5_571ENDINGG_27" localSheetId="8">GMIC_22A_SCDPT5!$AC$114</definedName>
    <definedName name="SCDPT5_571ENDINGG_3" localSheetId="8">GMIC_22A_SCDPT5!$E$114</definedName>
    <definedName name="SCDPT5_571ENDINGG_4" localSheetId="8">GMIC_22A_SCDPT5!$F$114</definedName>
    <definedName name="SCDPT5_571ENDINGG_5" localSheetId="8">GMIC_22A_SCDPT5!$G$114</definedName>
    <definedName name="SCDPT5_571ENDINGG_6" localSheetId="8">GMIC_22A_SCDPT5!$H$114</definedName>
    <definedName name="SCDPT5_571ENDINGG_7" localSheetId="8">GMIC_22A_SCDPT5!$I$114</definedName>
    <definedName name="SCDPT5_571ENDINGG_8" localSheetId="8">GMIC_22A_SCDPT5!$J$114</definedName>
    <definedName name="SCDPT5_571ENDINGG_9" localSheetId="8">GMIC_22A_SCDPT5!$K$114</definedName>
    <definedName name="SCDPT5_5720000000_Range" localSheetId="8">GMIC_22A_SCDPT5!$B$116:$AC$118</definedName>
    <definedName name="SCDPT5_5729999999_10" localSheetId="8">GMIC_22A_SCDPT5!$L$119</definedName>
    <definedName name="SCDPT5_5729999999_11" localSheetId="8">GMIC_22A_SCDPT5!$M$119</definedName>
    <definedName name="SCDPT5_5729999999_12" localSheetId="8">GMIC_22A_SCDPT5!$N$119</definedName>
    <definedName name="SCDPT5_5729999999_13" localSheetId="8">GMIC_22A_SCDPT5!$O$119</definedName>
    <definedName name="SCDPT5_5729999999_14" localSheetId="8">GMIC_22A_SCDPT5!$P$119</definedName>
    <definedName name="SCDPT5_5729999999_15" localSheetId="8">GMIC_22A_SCDPT5!$Q$119</definedName>
    <definedName name="SCDPT5_5729999999_16" localSheetId="8">GMIC_22A_SCDPT5!$R$119</definedName>
    <definedName name="SCDPT5_5729999999_17" localSheetId="8">GMIC_22A_SCDPT5!$S$119</definedName>
    <definedName name="SCDPT5_5729999999_18" localSheetId="8">GMIC_22A_SCDPT5!$T$119</definedName>
    <definedName name="SCDPT5_5729999999_19" localSheetId="8">GMIC_22A_SCDPT5!$U$119</definedName>
    <definedName name="SCDPT5_5729999999_20" localSheetId="8">GMIC_22A_SCDPT5!$V$119</definedName>
    <definedName name="SCDPT5_5729999999_21" localSheetId="8">GMIC_22A_SCDPT5!$W$119</definedName>
    <definedName name="SCDPT5_5729999999_9" localSheetId="8">GMIC_22A_SCDPT5!$K$119</definedName>
    <definedName name="SCDPT5_572BEGINNG_1" localSheetId="8">GMIC_22A_SCDPT5!$C$116</definedName>
    <definedName name="SCDPT5_572BEGINNG_10" localSheetId="8">GMIC_22A_SCDPT5!$L$116</definedName>
    <definedName name="SCDPT5_572BEGINNG_11" localSheetId="8">GMIC_22A_SCDPT5!$M$116</definedName>
    <definedName name="SCDPT5_572BEGINNG_12" localSheetId="8">GMIC_22A_SCDPT5!$N$116</definedName>
    <definedName name="SCDPT5_572BEGINNG_13" localSheetId="8">GMIC_22A_SCDPT5!$O$116</definedName>
    <definedName name="SCDPT5_572BEGINNG_14" localSheetId="8">GMIC_22A_SCDPT5!$P$116</definedName>
    <definedName name="SCDPT5_572BEGINNG_15" localSheetId="8">GMIC_22A_SCDPT5!$Q$116</definedName>
    <definedName name="SCDPT5_572BEGINNG_16" localSheetId="8">GMIC_22A_SCDPT5!$R$116</definedName>
    <definedName name="SCDPT5_572BEGINNG_17" localSheetId="8">GMIC_22A_SCDPT5!$S$116</definedName>
    <definedName name="SCDPT5_572BEGINNG_18" localSheetId="8">GMIC_22A_SCDPT5!$T$116</definedName>
    <definedName name="SCDPT5_572BEGINNG_19" localSheetId="8">GMIC_22A_SCDPT5!$U$116</definedName>
    <definedName name="SCDPT5_572BEGINNG_2" localSheetId="8">GMIC_22A_SCDPT5!$D$116</definedName>
    <definedName name="SCDPT5_572BEGINNG_20" localSheetId="8">GMIC_22A_SCDPT5!$V$116</definedName>
    <definedName name="SCDPT5_572BEGINNG_21" localSheetId="8">GMIC_22A_SCDPT5!$W$116</definedName>
    <definedName name="SCDPT5_572BEGINNG_22" localSheetId="8">GMIC_22A_SCDPT5!$X$116</definedName>
    <definedName name="SCDPT5_572BEGINNG_23" localSheetId="8">GMIC_22A_SCDPT5!$Y$116</definedName>
    <definedName name="SCDPT5_572BEGINNG_24" localSheetId="8">GMIC_22A_SCDPT5!$Z$116</definedName>
    <definedName name="SCDPT5_572BEGINNG_25" localSheetId="8">GMIC_22A_SCDPT5!$AA$116</definedName>
    <definedName name="SCDPT5_572BEGINNG_26" localSheetId="8">GMIC_22A_SCDPT5!$AB$116</definedName>
    <definedName name="SCDPT5_572BEGINNG_27" localSheetId="8">GMIC_22A_SCDPT5!$AC$116</definedName>
    <definedName name="SCDPT5_572BEGINNG_3" localSheetId="8">GMIC_22A_SCDPT5!$E$116</definedName>
    <definedName name="SCDPT5_572BEGINNG_4" localSheetId="8">GMIC_22A_SCDPT5!$F$116</definedName>
    <definedName name="SCDPT5_572BEGINNG_5" localSheetId="8">GMIC_22A_SCDPT5!$G$116</definedName>
    <definedName name="SCDPT5_572BEGINNG_6" localSheetId="8">GMIC_22A_SCDPT5!$H$116</definedName>
    <definedName name="SCDPT5_572BEGINNG_7" localSheetId="8">GMIC_22A_SCDPT5!$I$116</definedName>
    <definedName name="SCDPT5_572BEGINNG_8" localSheetId="8">GMIC_22A_SCDPT5!$J$116</definedName>
    <definedName name="SCDPT5_572BEGINNG_9" localSheetId="8">GMIC_22A_SCDPT5!$K$116</definedName>
    <definedName name="SCDPT5_572ENDINGG_10" localSheetId="8">GMIC_22A_SCDPT5!$L$118</definedName>
    <definedName name="SCDPT5_572ENDINGG_11" localSheetId="8">GMIC_22A_SCDPT5!$M$118</definedName>
    <definedName name="SCDPT5_572ENDINGG_12" localSheetId="8">GMIC_22A_SCDPT5!$N$118</definedName>
    <definedName name="SCDPT5_572ENDINGG_13" localSheetId="8">GMIC_22A_SCDPT5!$O$118</definedName>
    <definedName name="SCDPT5_572ENDINGG_14" localSheetId="8">GMIC_22A_SCDPT5!$P$118</definedName>
    <definedName name="SCDPT5_572ENDINGG_15" localSheetId="8">GMIC_22A_SCDPT5!$Q$118</definedName>
    <definedName name="SCDPT5_572ENDINGG_16" localSheetId="8">GMIC_22A_SCDPT5!$R$118</definedName>
    <definedName name="SCDPT5_572ENDINGG_17" localSheetId="8">GMIC_22A_SCDPT5!$S$118</definedName>
    <definedName name="SCDPT5_572ENDINGG_18" localSheetId="8">GMIC_22A_SCDPT5!$T$118</definedName>
    <definedName name="SCDPT5_572ENDINGG_19" localSheetId="8">GMIC_22A_SCDPT5!$U$118</definedName>
    <definedName name="SCDPT5_572ENDINGG_2" localSheetId="8">GMIC_22A_SCDPT5!$D$118</definedName>
    <definedName name="SCDPT5_572ENDINGG_20" localSheetId="8">GMIC_22A_SCDPT5!$V$118</definedName>
    <definedName name="SCDPT5_572ENDINGG_21" localSheetId="8">GMIC_22A_SCDPT5!$W$118</definedName>
    <definedName name="SCDPT5_572ENDINGG_22" localSheetId="8">GMIC_22A_SCDPT5!$X$118</definedName>
    <definedName name="SCDPT5_572ENDINGG_23" localSheetId="8">GMIC_22A_SCDPT5!$Y$118</definedName>
    <definedName name="SCDPT5_572ENDINGG_24" localSheetId="8">GMIC_22A_SCDPT5!$Z$118</definedName>
    <definedName name="SCDPT5_572ENDINGG_25" localSheetId="8">GMIC_22A_SCDPT5!$AA$118</definedName>
    <definedName name="SCDPT5_572ENDINGG_26" localSheetId="8">GMIC_22A_SCDPT5!$AB$118</definedName>
    <definedName name="SCDPT5_572ENDINGG_27" localSheetId="8">GMIC_22A_SCDPT5!$AC$118</definedName>
    <definedName name="SCDPT5_572ENDINGG_3" localSheetId="8">GMIC_22A_SCDPT5!$E$118</definedName>
    <definedName name="SCDPT5_572ENDINGG_4" localSheetId="8">GMIC_22A_SCDPT5!$F$118</definedName>
    <definedName name="SCDPT5_572ENDINGG_5" localSheetId="8">GMIC_22A_SCDPT5!$G$118</definedName>
    <definedName name="SCDPT5_572ENDINGG_6" localSheetId="8">GMIC_22A_SCDPT5!$H$118</definedName>
    <definedName name="SCDPT5_572ENDINGG_7" localSheetId="8">GMIC_22A_SCDPT5!$I$118</definedName>
    <definedName name="SCDPT5_572ENDINGG_8" localSheetId="8">GMIC_22A_SCDPT5!$J$118</definedName>
    <definedName name="SCDPT5_572ENDINGG_9" localSheetId="8">GMIC_22A_SCDPT5!$K$118</definedName>
    <definedName name="SCDPT5_5810000000_Range" localSheetId="8">GMIC_22A_SCDPT5!$B$120:$AC$122</definedName>
    <definedName name="SCDPT5_5819999999_10" localSheetId="8">GMIC_22A_SCDPT5!$L$123</definedName>
    <definedName name="SCDPT5_5819999999_11" localSheetId="8">GMIC_22A_SCDPT5!$M$123</definedName>
    <definedName name="SCDPT5_5819999999_12" localSheetId="8">GMIC_22A_SCDPT5!$N$123</definedName>
    <definedName name="SCDPT5_5819999999_13" localSheetId="8">GMIC_22A_SCDPT5!$O$123</definedName>
    <definedName name="SCDPT5_5819999999_14" localSheetId="8">GMIC_22A_SCDPT5!$P$123</definedName>
    <definedName name="SCDPT5_5819999999_15" localSheetId="8">GMIC_22A_SCDPT5!$Q$123</definedName>
    <definedName name="SCDPT5_5819999999_16" localSheetId="8">GMIC_22A_SCDPT5!$R$123</definedName>
    <definedName name="SCDPT5_5819999999_17" localSheetId="8">GMIC_22A_SCDPT5!$S$123</definedName>
    <definedName name="SCDPT5_5819999999_18" localSheetId="8">GMIC_22A_SCDPT5!$T$123</definedName>
    <definedName name="SCDPT5_5819999999_19" localSheetId="8">GMIC_22A_SCDPT5!$U$123</definedName>
    <definedName name="SCDPT5_5819999999_20" localSheetId="8">GMIC_22A_SCDPT5!$V$123</definedName>
    <definedName name="SCDPT5_5819999999_21" localSheetId="8">GMIC_22A_SCDPT5!$W$123</definedName>
    <definedName name="SCDPT5_5819999999_9" localSheetId="8">GMIC_22A_SCDPT5!$K$123</definedName>
    <definedName name="SCDPT5_581BEGINNG_1" localSheetId="8">GMIC_22A_SCDPT5!$C$120</definedName>
    <definedName name="SCDPT5_581BEGINNG_10" localSheetId="8">GMIC_22A_SCDPT5!$L$120</definedName>
    <definedName name="SCDPT5_581BEGINNG_11" localSheetId="8">GMIC_22A_SCDPT5!$M$120</definedName>
    <definedName name="SCDPT5_581BEGINNG_12" localSheetId="8">GMIC_22A_SCDPT5!$N$120</definedName>
    <definedName name="SCDPT5_581BEGINNG_13" localSheetId="8">GMIC_22A_SCDPT5!$O$120</definedName>
    <definedName name="SCDPT5_581BEGINNG_14" localSheetId="8">GMIC_22A_SCDPT5!$P$120</definedName>
    <definedName name="SCDPT5_581BEGINNG_15" localSheetId="8">GMIC_22A_SCDPT5!$Q$120</definedName>
    <definedName name="SCDPT5_581BEGINNG_16" localSheetId="8">GMIC_22A_SCDPT5!$R$120</definedName>
    <definedName name="SCDPT5_581BEGINNG_17" localSheetId="8">GMIC_22A_SCDPT5!$S$120</definedName>
    <definedName name="SCDPT5_581BEGINNG_18" localSheetId="8">GMIC_22A_SCDPT5!$T$120</definedName>
    <definedName name="SCDPT5_581BEGINNG_19" localSheetId="8">GMIC_22A_SCDPT5!$U$120</definedName>
    <definedName name="SCDPT5_581BEGINNG_2" localSheetId="8">GMIC_22A_SCDPT5!$D$120</definedName>
    <definedName name="SCDPT5_581BEGINNG_20" localSheetId="8">GMIC_22A_SCDPT5!$V$120</definedName>
    <definedName name="SCDPT5_581BEGINNG_21" localSheetId="8">GMIC_22A_SCDPT5!$W$120</definedName>
    <definedName name="SCDPT5_581BEGINNG_22" localSheetId="8">GMIC_22A_SCDPT5!$X$120</definedName>
    <definedName name="SCDPT5_581BEGINNG_23" localSheetId="8">GMIC_22A_SCDPT5!$Y$120</definedName>
    <definedName name="SCDPT5_581BEGINNG_24" localSheetId="8">GMIC_22A_SCDPT5!$Z$120</definedName>
    <definedName name="SCDPT5_581BEGINNG_25" localSheetId="8">GMIC_22A_SCDPT5!$AA$120</definedName>
    <definedName name="SCDPT5_581BEGINNG_26" localSheetId="8">GMIC_22A_SCDPT5!$AB$120</definedName>
    <definedName name="SCDPT5_581BEGINNG_27" localSheetId="8">GMIC_22A_SCDPT5!$AC$120</definedName>
    <definedName name="SCDPT5_581BEGINNG_3" localSheetId="8">GMIC_22A_SCDPT5!$E$120</definedName>
    <definedName name="SCDPT5_581BEGINNG_4" localSheetId="8">GMIC_22A_SCDPT5!$F$120</definedName>
    <definedName name="SCDPT5_581BEGINNG_5" localSheetId="8">GMIC_22A_SCDPT5!$G$120</definedName>
    <definedName name="SCDPT5_581BEGINNG_6" localSheetId="8">GMIC_22A_SCDPT5!$H$120</definedName>
    <definedName name="SCDPT5_581BEGINNG_7" localSheetId="8">GMIC_22A_SCDPT5!$I$120</definedName>
    <definedName name="SCDPT5_581BEGINNG_8" localSheetId="8">GMIC_22A_SCDPT5!$J$120</definedName>
    <definedName name="SCDPT5_581BEGINNG_9" localSheetId="8">GMIC_22A_SCDPT5!$K$120</definedName>
    <definedName name="SCDPT5_581ENDINGG_10" localSheetId="8">GMIC_22A_SCDPT5!$L$122</definedName>
    <definedName name="SCDPT5_581ENDINGG_11" localSheetId="8">GMIC_22A_SCDPT5!$M$122</definedName>
    <definedName name="SCDPT5_581ENDINGG_12" localSheetId="8">GMIC_22A_SCDPT5!$N$122</definedName>
    <definedName name="SCDPT5_581ENDINGG_13" localSheetId="8">GMIC_22A_SCDPT5!$O$122</definedName>
    <definedName name="SCDPT5_581ENDINGG_14" localSheetId="8">GMIC_22A_SCDPT5!$P$122</definedName>
    <definedName name="SCDPT5_581ENDINGG_15" localSheetId="8">GMIC_22A_SCDPT5!$Q$122</definedName>
    <definedName name="SCDPT5_581ENDINGG_16" localSheetId="8">GMIC_22A_SCDPT5!$R$122</definedName>
    <definedName name="SCDPT5_581ENDINGG_17" localSheetId="8">GMIC_22A_SCDPT5!$S$122</definedName>
    <definedName name="SCDPT5_581ENDINGG_18" localSheetId="8">GMIC_22A_SCDPT5!$T$122</definedName>
    <definedName name="SCDPT5_581ENDINGG_19" localSheetId="8">GMIC_22A_SCDPT5!$U$122</definedName>
    <definedName name="SCDPT5_581ENDINGG_2" localSheetId="8">GMIC_22A_SCDPT5!$D$122</definedName>
    <definedName name="SCDPT5_581ENDINGG_20" localSheetId="8">GMIC_22A_SCDPT5!$V$122</definedName>
    <definedName name="SCDPT5_581ENDINGG_21" localSheetId="8">GMIC_22A_SCDPT5!$W$122</definedName>
    <definedName name="SCDPT5_581ENDINGG_22" localSheetId="8">GMIC_22A_SCDPT5!$X$122</definedName>
    <definedName name="SCDPT5_581ENDINGG_23" localSheetId="8">GMIC_22A_SCDPT5!$Y$122</definedName>
    <definedName name="SCDPT5_581ENDINGG_24" localSheetId="8">GMIC_22A_SCDPT5!$Z$122</definedName>
    <definedName name="SCDPT5_581ENDINGG_25" localSheetId="8">GMIC_22A_SCDPT5!$AA$122</definedName>
    <definedName name="SCDPT5_581ENDINGG_26" localSheetId="8">GMIC_22A_SCDPT5!$AB$122</definedName>
    <definedName name="SCDPT5_581ENDINGG_27" localSheetId="8">GMIC_22A_SCDPT5!$AC$122</definedName>
    <definedName name="SCDPT5_581ENDINGG_3" localSheetId="8">GMIC_22A_SCDPT5!$E$122</definedName>
    <definedName name="SCDPT5_581ENDINGG_4" localSheetId="8">GMIC_22A_SCDPT5!$F$122</definedName>
    <definedName name="SCDPT5_581ENDINGG_5" localSheetId="8">GMIC_22A_SCDPT5!$G$122</definedName>
    <definedName name="SCDPT5_581ENDINGG_6" localSheetId="8">GMIC_22A_SCDPT5!$H$122</definedName>
    <definedName name="SCDPT5_581ENDINGG_7" localSheetId="8">GMIC_22A_SCDPT5!$I$122</definedName>
    <definedName name="SCDPT5_581ENDINGG_8" localSheetId="8">GMIC_22A_SCDPT5!$J$122</definedName>
    <definedName name="SCDPT5_581ENDINGG_9" localSheetId="8">GMIC_22A_SCDPT5!$K$122</definedName>
    <definedName name="SCDPT5_5910000000_Range" localSheetId="8">GMIC_22A_SCDPT5!$B$124:$AC$126</definedName>
    <definedName name="SCDPT5_5919999999_10" localSheetId="8">GMIC_22A_SCDPT5!$L$127</definedName>
    <definedName name="SCDPT5_5919999999_11" localSheetId="8">GMIC_22A_SCDPT5!$M$127</definedName>
    <definedName name="SCDPT5_5919999999_12" localSheetId="8">GMIC_22A_SCDPT5!$N$127</definedName>
    <definedName name="SCDPT5_5919999999_13" localSheetId="8">GMIC_22A_SCDPT5!$O$127</definedName>
    <definedName name="SCDPT5_5919999999_14" localSheetId="8">GMIC_22A_SCDPT5!$P$127</definedName>
    <definedName name="SCDPT5_5919999999_15" localSheetId="8">GMIC_22A_SCDPT5!$Q$127</definedName>
    <definedName name="SCDPT5_5919999999_16" localSheetId="8">GMIC_22A_SCDPT5!$R$127</definedName>
    <definedName name="SCDPT5_5919999999_17" localSheetId="8">GMIC_22A_SCDPT5!$S$127</definedName>
    <definedName name="SCDPT5_5919999999_18" localSheetId="8">GMIC_22A_SCDPT5!$T$127</definedName>
    <definedName name="SCDPT5_5919999999_19" localSheetId="8">GMIC_22A_SCDPT5!$U$127</definedName>
    <definedName name="SCDPT5_5919999999_20" localSheetId="8">GMIC_22A_SCDPT5!$V$127</definedName>
    <definedName name="SCDPT5_5919999999_21" localSheetId="8">GMIC_22A_SCDPT5!$W$127</definedName>
    <definedName name="SCDPT5_5919999999_9" localSheetId="8">GMIC_22A_SCDPT5!$K$127</definedName>
    <definedName name="SCDPT5_591BEGINNG_1" localSheetId="8">GMIC_22A_SCDPT5!$C$124</definedName>
    <definedName name="SCDPT5_591BEGINNG_10" localSheetId="8">GMIC_22A_SCDPT5!$L$124</definedName>
    <definedName name="SCDPT5_591BEGINNG_11" localSheetId="8">GMIC_22A_SCDPT5!$M$124</definedName>
    <definedName name="SCDPT5_591BEGINNG_12" localSheetId="8">GMIC_22A_SCDPT5!$N$124</definedName>
    <definedName name="SCDPT5_591BEGINNG_13" localSheetId="8">GMIC_22A_SCDPT5!$O$124</definedName>
    <definedName name="SCDPT5_591BEGINNG_14" localSheetId="8">GMIC_22A_SCDPT5!$P$124</definedName>
    <definedName name="SCDPT5_591BEGINNG_15" localSheetId="8">GMIC_22A_SCDPT5!$Q$124</definedName>
    <definedName name="SCDPT5_591BEGINNG_16" localSheetId="8">GMIC_22A_SCDPT5!$R$124</definedName>
    <definedName name="SCDPT5_591BEGINNG_17" localSheetId="8">GMIC_22A_SCDPT5!$S$124</definedName>
    <definedName name="SCDPT5_591BEGINNG_18" localSheetId="8">GMIC_22A_SCDPT5!$T$124</definedName>
    <definedName name="SCDPT5_591BEGINNG_19" localSheetId="8">GMIC_22A_SCDPT5!$U$124</definedName>
    <definedName name="SCDPT5_591BEGINNG_2" localSheetId="8">GMIC_22A_SCDPT5!$D$124</definedName>
    <definedName name="SCDPT5_591BEGINNG_20" localSheetId="8">GMIC_22A_SCDPT5!$V$124</definedName>
    <definedName name="SCDPT5_591BEGINNG_21" localSheetId="8">GMIC_22A_SCDPT5!$W$124</definedName>
    <definedName name="SCDPT5_591BEGINNG_22" localSheetId="8">GMIC_22A_SCDPT5!$X$124</definedName>
    <definedName name="SCDPT5_591BEGINNG_23" localSheetId="8">GMIC_22A_SCDPT5!$Y$124</definedName>
    <definedName name="SCDPT5_591BEGINNG_24" localSheetId="8">GMIC_22A_SCDPT5!$Z$124</definedName>
    <definedName name="SCDPT5_591BEGINNG_25" localSheetId="8">GMIC_22A_SCDPT5!$AA$124</definedName>
    <definedName name="SCDPT5_591BEGINNG_26" localSheetId="8">GMIC_22A_SCDPT5!$AB$124</definedName>
    <definedName name="SCDPT5_591BEGINNG_27" localSheetId="8">GMIC_22A_SCDPT5!$AC$124</definedName>
    <definedName name="SCDPT5_591BEGINNG_3" localSheetId="8">GMIC_22A_SCDPT5!$E$124</definedName>
    <definedName name="SCDPT5_591BEGINNG_4" localSheetId="8">GMIC_22A_SCDPT5!$F$124</definedName>
    <definedName name="SCDPT5_591BEGINNG_5" localSheetId="8">GMIC_22A_SCDPT5!$G$124</definedName>
    <definedName name="SCDPT5_591BEGINNG_6" localSheetId="8">GMIC_22A_SCDPT5!$H$124</definedName>
    <definedName name="SCDPT5_591BEGINNG_7" localSheetId="8">GMIC_22A_SCDPT5!$I$124</definedName>
    <definedName name="SCDPT5_591BEGINNG_8" localSheetId="8">GMIC_22A_SCDPT5!$J$124</definedName>
    <definedName name="SCDPT5_591BEGINNG_9" localSheetId="8">GMIC_22A_SCDPT5!$K$124</definedName>
    <definedName name="SCDPT5_591ENDINGG_10" localSheetId="8">GMIC_22A_SCDPT5!$L$126</definedName>
    <definedName name="SCDPT5_591ENDINGG_11" localSheetId="8">GMIC_22A_SCDPT5!$M$126</definedName>
    <definedName name="SCDPT5_591ENDINGG_12" localSheetId="8">GMIC_22A_SCDPT5!$N$126</definedName>
    <definedName name="SCDPT5_591ENDINGG_13" localSheetId="8">GMIC_22A_SCDPT5!$O$126</definedName>
    <definedName name="SCDPT5_591ENDINGG_14" localSheetId="8">GMIC_22A_SCDPT5!$P$126</definedName>
    <definedName name="SCDPT5_591ENDINGG_15" localSheetId="8">GMIC_22A_SCDPT5!$Q$126</definedName>
    <definedName name="SCDPT5_591ENDINGG_16" localSheetId="8">GMIC_22A_SCDPT5!$R$126</definedName>
    <definedName name="SCDPT5_591ENDINGG_17" localSheetId="8">GMIC_22A_SCDPT5!$S$126</definedName>
    <definedName name="SCDPT5_591ENDINGG_18" localSheetId="8">GMIC_22A_SCDPT5!$T$126</definedName>
    <definedName name="SCDPT5_591ENDINGG_19" localSheetId="8">GMIC_22A_SCDPT5!$U$126</definedName>
    <definedName name="SCDPT5_591ENDINGG_2" localSheetId="8">GMIC_22A_SCDPT5!$D$126</definedName>
    <definedName name="SCDPT5_591ENDINGG_20" localSheetId="8">GMIC_22A_SCDPT5!$V$126</definedName>
    <definedName name="SCDPT5_591ENDINGG_21" localSheetId="8">GMIC_22A_SCDPT5!$W$126</definedName>
    <definedName name="SCDPT5_591ENDINGG_22" localSheetId="8">GMIC_22A_SCDPT5!$X$126</definedName>
    <definedName name="SCDPT5_591ENDINGG_23" localSheetId="8">GMIC_22A_SCDPT5!$Y$126</definedName>
    <definedName name="SCDPT5_591ENDINGG_24" localSheetId="8">GMIC_22A_SCDPT5!$Z$126</definedName>
    <definedName name="SCDPT5_591ENDINGG_25" localSheetId="8">GMIC_22A_SCDPT5!$AA$126</definedName>
    <definedName name="SCDPT5_591ENDINGG_26" localSheetId="8">GMIC_22A_SCDPT5!$AB$126</definedName>
    <definedName name="SCDPT5_591ENDINGG_27" localSheetId="8">GMIC_22A_SCDPT5!$AC$126</definedName>
    <definedName name="SCDPT5_591ENDINGG_3" localSheetId="8">GMIC_22A_SCDPT5!$E$126</definedName>
    <definedName name="SCDPT5_591ENDINGG_4" localSheetId="8">GMIC_22A_SCDPT5!$F$126</definedName>
    <definedName name="SCDPT5_591ENDINGG_5" localSheetId="8">GMIC_22A_SCDPT5!$G$126</definedName>
    <definedName name="SCDPT5_591ENDINGG_6" localSheetId="8">GMIC_22A_SCDPT5!$H$126</definedName>
    <definedName name="SCDPT5_591ENDINGG_7" localSheetId="8">GMIC_22A_SCDPT5!$I$126</definedName>
    <definedName name="SCDPT5_591ENDINGG_8" localSheetId="8">GMIC_22A_SCDPT5!$J$126</definedName>
    <definedName name="SCDPT5_591ENDINGG_9" localSheetId="8">GMIC_22A_SCDPT5!$K$126</definedName>
    <definedName name="SCDPT5_5920000000_Range" localSheetId="8">GMIC_22A_SCDPT5!$B$128:$AC$130</definedName>
    <definedName name="SCDPT5_5929999999_10" localSheetId="8">GMIC_22A_SCDPT5!$L$131</definedName>
    <definedName name="SCDPT5_5929999999_11" localSheetId="8">GMIC_22A_SCDPT5!$M$131</definedName>
    <definedName name="SCDPT5_5929999999_12" localSheetId="8">GMIC_22A_SCDPT5!$N$131</definedName>
    <definedName name="SCDPT5_5929999999_13" localSheetId="8">GMIC_22A_SCDPT5!$O$131</definedName>
    <definedName name="SCDPT5_5929999999_14" localSheetId="8">GMIC_22A_SCDPT5!$P$131</definedName>
    <definedName name="SCDPT5_5929999999_15" localSheetId="8">GMIC_22A_SCDPT5!$Q$131</definedName>
    <definedName name="SCDPT5_5929999999_16" localSheetId="8">GMIC_22A_SCDPT5!$R$131</definedName>
    <definedName name="SCDPT5_5929999999_17" localSheetId="8">GMIC_22A_SCDPT5!$S$131</definedName>
    <definedName name="SCDPT5_5929999999_18" localSheetId="8">GMIC_22A_SCDPT5!$T$131</definedName>
    <definedName name="SCDPT5_5929999999_19" localSheetId="8">GMIC_22A_SCDPT5!$U$131</definedName>
    <definedName name="SCDPT5_5929999999_20" localSheetId="8">GMIC_22A_SCDPT5!$V$131</definedName>
    <definedName name="SCDPT5_5929999999_21" localSheetId="8">GMIC_22A_SCDPT5!$W$131</definedName>
    <definedName name="SCDPT5_5929999999_9" localSheetId="8">GMIC_22A_SCDPT5!$K$131</definedName>
    <definedName name="SCDPT5_592BEGINNG_1" localSheetId="8">GMIC_22A_SCDPT5!$C$128</definedName>
    <definedName name="SCDPT5_592BEGINNG_10" localSheetId="8">GMIC_22A_SCDPT5!$L$128</definedName>
    <definedName name="SCDPT5_592BEGINNG_11" localSheetId="8">GMIC_22A_SCDPT5!$M$128</definedName>
    <definedName name="SCDPT5_592BEGINNG_12" localSheetId="8">GMIC_22A_SCDPT5!$N$128</definedName>
    <definedName name="SCDPT5_592BEGINNG_13" localSheetId="8">GMIC_22A_SCDPT5!$O$128</definedName>
    <definedName name="SCDPT5_592BEGINNG_14" localSheetId="8">GMIC_22A_SCDPT5!$P$128</definedName>
    <definedName name="SCDPT5_592BEGINNG_15" localSheetId="8">GMIC_22A_SCDPT5!$Q$128</definedName>
    <definedName name="SCDPT5_592BEGINNG_16" localSheetId="8">GMIC_22A_SCDPT5!$R$128</definedName>
    <definedName name="SCDPT5_592BEGINNG_17" localSheetId="8">GMIC_22A_SCDPT5!$S$128</definedName>
    <definedName name="SCDPT5_592BEGINNG_18" localSheetId="8">GMIC_22A_SCDPT5!$T$128</definedName>
    <definedName name="SCDPT5_592BEGINNG_19" localSheetId="8">GMIC_22A_SCDPT5!$U$128</definedName>
    <definedName name="SCDPT5_592BEGINNG_2" localSheetId="8">GMIC_22A_SCDPT5!$D$128</definedName>
    <definedName name="SCDPT5_592BEGINNG_20" localSheetId="8">GMIC_22A_SCDPT5!$V$128</definedName>
    <definedName name="SCDPT5_592BEGINNG_21" localSheetId="8">GMIC_22A_SCDPT5!$W$128</definedName>
    <definedName name="SCDPT5_592BEGINNG_22" localSheetId="8">GMIC_22A_SCDPT5!$X$128</definedName>
    <definedName name="SCDPT5_592BEGINNG_23" localSheetId="8">GMIC_22A_SCDPT5!$Y$128</definedName>
    <definedName name="SCDPT5_592BEGINNG_24" localSheetId="8">GMIC_22A_SCDPT5!$Z$128</definedName>
    <definedName name="SCDPT5_592BEGINNG_25" localSheetId="8">GMIC_22A_SCDPT5!$AA$128</definedName>
    <definedName name="SCDPT5_592BEGINNG_26" localSheetId="8">GMIC_22A_SCDPT5!$AB$128</definedName>
    <definedName name="SCDPT5_592BEGINNG_27" localSheetId="8">GMIC_22A_SCDPT5!$AC$128</definedName>
    <definedName name="SCDPT5_592BEGINNG_3" localSheetId="8">GMIC_22A_SCDPT5!$E$128</definedName>
    <definedName name="SCDPT5_592BEGINNG_4" localSheetId="8">GMIC_22A_SCDPT5!$F$128</definedName>
    <definedName name="SCDPT5_592BEGINNG_5" localSheetId="8">GMIC_22A_SCDPT5!$G$128</definedName>
    <definedName name="SCDPT5_592BEGINNG_6" localSheetId="8">GMIC_22A_SCDPT5!$H$128</definedName>
    <definedName name="SCDPT5_592BEGINNG_7" localSheetId="8">GMIC_22A_SCDPT5!$I$128</definedName>
    <definedName name="SCDPT5_592BEGINNG_8" localSheetId="8">GMIC_22A_SCDPT5!$J$128</definedName>
    <definedName name="SCDPT5_592BEGINNG_9" localSheetId="8">GMIC_22A_SCDPT5!$K$128</definedName>
    <definedName name="SCDPT5_592ENDINGG_10" localSheetId="8">GMIC_22A_SCDPT5!$L$130</definedName>
    <definedName name="SCDPT5_592ENDINGG_11" localSheetId="8">GMIC_22A_SCDPT5!$M$130</definedName>
    <definedName name="SCDPT5_592ENDINGG_12" localSheetId="8">GMIC_22A_SCDPT5!$N$130</definedName>
    <definedName name="SCDPT5_592ENDINGG_13" localSheetId="8">GMIC_22A_SCDPT5!$O$130</definedName>
    <definedName name="SCDPT5_592ENDINGG_14" localSheetId="8">GMIC_22A_SCDPT5!$P$130</definedName>
    <definedName name="SCDPT5_592ENDINGG_15" localSheetId="8">GMIC_22A_SCDPT5!$Q$130</definedName>
    <definedName name="SCDPT5_592ENDINGG_16" localSheetId="8">GMIC_22A_SCDPT5!$R$130</definedName>
    <definedName name="SCDPT5_592ENDINGG_17" localSheetId="8">GMIC_22A_SCDPT5!$S$130</definedName>
    <definedName name="SCDPT5_592ENDINGG_18" localSheetId="8">GMIC_22A_SCDPT5!$T$130</definedName>
    <definedName name="SCDPT5_592ENDINGG_19" localSheetId="8">GMIC_22A_SCDPT5!$U$130</definedName>
    <definedName name="SCDPT5_592ENDINGG_2" localSheetId="8">GMIC_22A_SCDPT5!$D$130</definedName>
    <definedName name="SCDPT5_592ENDINGG_20" localSheetId="8">GMIC_22A_SCDPT5!$V$130</definedName>
    <definedName name="SCDPT5_592ENDINGG_21" localSheetId="8">GMIC_22A_SCDPT5!$W$130</definedName>
    <definedName name="SCDPT5_592ENDINGG_22" localSheetId="8">GMIC_22A_SCDPT5!$X$130</definedName>
    <definedName name="SCDPT5_592ENDINGG_23" localSheetId="8">GMIC_22A_SCDPT5!$Y$130</definedName>
    <definedName name="SCDPT5_592ENDINGG_24" localSheetId="8">GMIC_22A_SCDPT5!$Z$130</definedName>
    <definedName name="SCDPT5_592ENDINGG_25" localSheetId="8">GMIC_22A_SCDPT5!$AA$130</definedName>
    <definedName name="SCDPT5_592ENDINGG_26" localSheetId="8">GMIC_22A_SCDPT5!$AB$130</definedName>
    <definedName name="SCDPT5_592ENDINGG_27" localSheetId="8">GMIC_22A_SCDPT5!$AC$130</definedName>
    <definedName name="SCDPT5_592ENDINGG_3" localSheetId="8">GMIC_22A_SCDPT5!$E$130</definedName>
    <definedName name="SCDPT5_592ENDINGG_4" localSheetId="8">GMIC_22A_SCDPT5!$F$130</definedName>
    <definedName name="SCDPT5_592ENDINGG_5" localSheetId="8">GMIC_22A_SCDPT5!$G$130</definedName>
    <definedName name="SCDPT5_592ENDINGG_6" localSheetId="8">GMIC_22A_SCDPT5!$H$130</definedName>
    <definedName name="SCDPT5_592ENDINGG_7" localSheetId="8">GMIC_22A_SCDPT5!$I$130</definedName>
    <definedName name="SCDPT5_592ENDINGG_8" localSheetId="8">GMIC_22A_SCDPT5!$J$130</definedName>
    <definedName name="SCDPT5_592ENDINGG_9" localSheetId="8">GMIC_22A_SCDPT5!$K$130</definedName>
    <definedName name="SCDPT5_5989999998_10" localSheetId="8">GMIC_22A_SCDPT5!$L$132</definedName>
    <definedName name="SCDPT5_5989999998_11" localSheetId="8">GMIC_22A_SCDPT5!$M$132</definedName>
    <definedName name="SCDPT5_5989999998_12" localSheetId="8">GMIC_22A_SCDPT5!$N$132</definedName>
    <definedName name="SCDPT5_5989999998_13" localSheetId="8">GMIC_22A_SCDPT5!$O$132</definedName>
    <definedName name="SCDPT5_5989999998_14" localSheetId="8">GMIC_22A_SCDPT5!$P$132</definedName>
    <definedName name="SCDPT5_5989999998_15" localSheetId="8">GMIC_22A_SCDPT5!$Q$132</definedName>
    <definedName name="SCDPT5_5989999998_16" localSheetId="8">GMIC_22A_SCDPT5!$R$132</definedName>
    <definedName name="SCDPT5_5989999998_17" localSheetId="8">GMIC_22A_SCDPT5!$S$132</definedName>
    <definedName name="SCDPT5_5989999998_18" localSheetId="8">GMIC_22A_SCDPT5!$T$132</definedName>
    <definedName name="SCDPT5_5989999998_19" localSheetId="8">GMIC_22A_SCDPT5!$U$132</definedName>
    <definedName name="SCDPT5_5989999998_20" localSheetId="8">GMIC_22A_SCDPT5!$V$132</definedName>
    <definedName name="SCDPT5_5989999998_21" localSheetId="8">GMIC_22A_SCDPT5!$W$132</definedName>
    <definedName name="SCDPT5_5989999998_9" localSheetId="8">GMIC_22A_SCDPT5!$K$132</definedName>
    <definedName name="SCDPT5_5999999999_10" localSheetId="8">GMIC_22A_SCDPT5!$L$133</definedName>
    <definedName name="SCDPT5_5999999999_11" localSheetId="8">GMIC_22A_SCDPT5!$M$133</definedName>
    <definedName name="SCDPT5_5999999999_12" localSheetId="8">GMIC_22A_SCDPT5!$N$133</definedName>
    <definedName name="SCDPT5_5999999999_13" localSheetId="8">GMIC_22A_SCDPT5!$O$133</definedName>
    <definedName name="SCDPT5_5999999999_14" localSheetId="8">GMIC_22A_SCDPT5!$P$133</definedName>
    <definedName name="SCDPT5_5999999999_15" localSheetId="8">GMIC_22A_SCDPT5!$Q$133</definedName>
    <definedName name="SCDPT5_5999999999_16" localSheetId="8">GMIC_22A_SCDPT5!$R$133</definedName>
    <definedName name="SCDPT5_5999999999_17" localSheetId="8">GMIC_22A_SCDPT5!$S$133</definedName>
    <definedName name="SCDPT5_5999999999_18" localSheetId="8">GMIC_22A_SCDPT5!$T$133</definedName>
    <definedName name="SCDPT5_5999999999_19" localSheetId="8">GMIC_22A_SCDPT5!$U$133</definedName>
    <definedName name="SCDPT5_5999999999_20" localSheetId="8">GMIC_22A_SCDPT5!$V$133</definedName>
    <definedName name="SCDPT5_5999999999_21" localSheetId="8">GMIC_22A_SCDPT5!$W$133</definedName>
    <definedName name="SCDPT5_5999999999_9" localSheetId="8">GMIC_22A_SCDPT5!$K$133</definedName>
    <definedName name="SCDPT5_6009999999_10" localSheetId="8">GMIC_22A_SCDPT5!$L$134</definedName>
    <definedName name="SCDPT5_6009999999_11" localSheetId="8">GMIC_22A_SCDPT5!$M$134</definedName>
    <definedName name="SCDPT5_6009999999_12" localSheetId="8">GMIC_22A_SCDPT5!$N$134</definedName>
    <definedName name="SCDPT5_6009999999_13" localSheetId="8">GMIC_22A_SCDPT5!$O$134</definedName>
    <definedName name="SCDPT5_6009999999_14" localSheetId="8">GMIC_22A_SCDPT5!$P$134</definedName>
    <definedName name="SCDPT5_6009999999_15" localSheetId="8">GMIC_22A_SCDPT5!$Q$134</definedName>
    <definedName name="SCDPT5_6009999999_16" localSheetId="8">GMIC_22A_SCDPT5!$R$134</definedName>
    <definedName name="SCDPT5_6009999999_17" localSheetId="8">GMIC_22A_SCDPT5!$S$134</definedName>
    <definedName name="SCDPT5_6009999999_18" localSheetId="8">GMIC_22A_SCDPT5!$T$134</definedName>
    <definedName name="SCDPT5_6009999999_19" localSheetId="8">GMIC_22A_SCDPT5!$U$134</definedName>
    <definedName name="SCDPT5_6009999999_20" localSheetId="8">GMIC_22A_SCDPT5!$V$134</definedName>
    <definedName name="SCDPT5_6009999999_21" localSheetId="8">GMIC_22A_SCDPT5!$W$134</definedName>
    <definedName name="SCDPT5_6009999999_9" localSheetId="8">GMIC_22A_SCDPT5!$K$134</definedName>
    <definedName name="SCDPT6SN1_0100000_Range" localSheetId="9">GMIC_22A_SCDPT6SN1!$B$7:$U$9</definedName>
    <definedName name="SCDPT6SN1_0199999_16" localSheetId="9">GMIC_22A_SCDPT6SN1!$R$10</definedName>
    <definedName name="SCDPT6SN1_0199999_17" localSheetId="9">GMIC_22A_SCDPT6SN1!$S$10</definedName>
    <definedName name="SCDPT6SN1_0199999_18" localSheetId="9">GMIC_22A_SCDPT6SN1!$T$10</definedName>
    <definedName name="SCDPT6SN1_0199999_7" localSheetId="9">GMIC_22A_SCDPT6SN1!$I$10</definedName>
    <definedName name="SCDPT6SN1_0199999_8" localSheetId="9">GMIC_22A_SCDPT6SN1!$J$10</definedName>
    <definedName name="SCDPT6SN1_0199999_9" localSheetId="9">GMIC_22A_SCDPT6SN1!$K$10</definedName>
    <definedName name="SCDPT6SN1_01BEGIN_1" localSheetId="9">GMIC_22A_SCDPT6SN1!$C$7</definedName>
    <definedName name="SCDPT6SN1_01BEGIN_10" localSheetId="9">GMIC_22A_SCDPT6SN1!$L$7</definedName>
    <definedName name="SCDPT6SN1_01BEGIN_11" localSheetId="9">GMIC_22A_SCDPT6SN1!$M$7</definedName>
    <definedName name="SCDPT6SN1_01BEGIN_12" localSheetId="9">GMIC_22A_SCDPT6SN1!$N$7</definedName>
    <definedName name="SCDPT6SN1_01BEGIN_13" localSheetId="9">GMIC_22A_SCDPT6SN1!$O$7</definedName>
    <definedName name="SCDPT6SN1_01BEGIN_14" localSheetId="9">GMIC_22A_SCDPT6SN1!$P$7</definedName>
    <definedName name="SCDPT6SN1_01BEGIN_15" localSheetId="9">GMIC_22A_SCDPT6SN1!$Q$7</definedName>
    <definedName name="SCDPT6SN1_01BEGIN_16" localSheetId="9">GMIC_22A_SCDPT6SN1!$R$7</definedName>
    <definedName name="SCDPT6SN1_01BEGIN_17" localSheetId="9">GMIC_22A_SCDPT6SN1!$S$7</definedName>
    <definedName name="SCDPT6SN1_01BEGIN_18" localSheetId="9">GMIC_22A_SCDPT6SN1!$T$7</definedName>
    <definedName name="SCDPT6SN1_01BEGIN_19" localSheetId="9">GMIC_22A_SCDPT6SN1!$U$7</definedName>
    <definedName name="SCDPT6SN1_01BEGIN_2" localSheetId="9">GMIC_22A_SCDPT6SN1!$D$7</definedName>
    <definedName name="SCDPT6SN1_01BEGIN_3" localSheetId="9">GMIC_22A_SCDPT6SN1!$E$7</definedName>
    <definedName name="SCDPT6SN1_01BEGIN_4" localSheetId="9">GMIC_22A_SCDPT6SN1!$F$7</definedName>
    <definedName name="SCDPT6SN1_01BEGIN_5" localSheetId="9">GMIC_22A_SCDPT6SN1!$G$7</definedName>
    <definedName name="SCDPT6SN1_01BEGIN_6" localSheetId="9">GMIC_22A_SCDPT6SN1!$H$7</definedName>
    <definedName name="SCDPT6SN1_01BEGIN_7" localSheetId="9">GMIC_22A_SCDPT6SN1!$I$7</definedName>
    <definedName name="SCDPT6SN1_01BEGIN_8" localSheetId="9">GMIC_22A_SCDPT6SN1!$J$7</definedName>
    <definedName name="SCDPT6SN1_01BEGIN_9" localSheetId="9">GMIC_22A_SCDPT6SN1!$K$7</definedName>
    <definedName name="SCDPT6SN1_01ENDIN_10" localSheetId="9">GMIC_22A_SCDPT6SN1!$L$9</definedName>
    <definedName name="SCDPT6SN1_01ENDIN_11" localSheetId="9">GMIC_22A_SCDPT6SN1!$M$9</definedName>
    <definedName name="SCDPT6SN1_01ENDIN_12" localSheetId="9">GMIC_22A_SCDPT6SN1!$N$9</definedName>
    <definedName name="SCDPT6SN1_01ENDIN_13" localSheetId="9">GMIC_22A_SCDPT6SN1!$O$9</definedName>
    <definedName name="SCDPT6SN1_01ENDIN_14" localSheetId="9">GMIC_22A_SCDPT6SN1!$P$9</definedName>
    <definedName name="SCDPT6SN1_01ENDIN_15" localSheetId="9">GMIC_22A_SCDPT6SN1!$Q$9</definedName>
    <definedName name="SCDPT6SN1_01ENDIN_16" localSheetId="9">GMIC_22A_SCDPT6SN1!$R$9</definedName>
    <definedName name="SCDPT6SN1_01ENDIN_17" localSheetId="9">GMIC_22A_SCDPT6SN1!$S$9</definedName>
    <definedName name="SCDPT6SN1_01ENDIN_18" localSheetId="9">GMIC_22A_SCDPT6SN1!$T$9</definedName>
    <definedName name="SCDPT6SN1_01ENDIN_19" localSheetId="9">GMIC_22A_SCDPT6SN1!$U$9</definedName>
    <definedName name="SCDPT6SN1_01ENDIN_2" localSheetId="9">GMIC_22A_SCDPT6SN1!$D$9</definedName>
    <definedName name="SCDPT6SN1_01ENDIN_3" localSheetId="9">GMIC_22A_SCDPT6SN1!$E$9</definedName>
    <definedName name="SCDPT6SN1_01ENDIN_4" localSheetId="9">GMIC_22A_SCDPT6SN1!$F$9</definedName>
    <definedName name="SCDPT6SN1_01ENDIN_5" localSheetId="9">GMIC_22A_SCDPT6SN1!$G$9</definedName>
    <definedName name="SCDPT6SN1_01ENDIN_6" localSheetId="9">GMIC_22A_SCDPT6SN1!$H$9</definedName>
    <definedName name="SCDPT6SN1_01ENDIN_7" localSheetId="9">GMIC_22A_SCDPT6SN1!$I$9</definedName>
    <definedName name="SCDPT6SN1_01ENDIN_8" localSheetId="9">GMIC_22A_SCDPT6SN1!$J$9</definedName>
    <definedName name="SCDPT6SN1_01ENDIN_9" localSheetId="9">GMIC_22A_SCDPT6SN1!$K$9</definedName>
    <definedName name="SCDPT6SN1_0200000_Range" localSheetId="9">GMIC_22A_SCDPT6SN1!$B$11:$U$13</definedName>
    <definedName name="SCDPT6SN1_0299999_16" localSheetId="9">GMIC_22A_SCDPT6SN1!$R$14</definedName>
    <definedName name="SCDPT6SN1_0299999_17" localSheetId="9">GMIC_22A_SCDPT6SN1!$S$14</definedName>
    <definedName name="SCDPT6SN1_0299999_18" localSheetId="9">GMIC_22A_SCDPT6SN1!$T$14</definedName>
    <definedName name="SCDPT6SN1_0299999_7" localSheetId="9">GMIC_22A_SCDPT6SN1!$I$14</definedName>
    <definedName name="SCDPT6SN1_0299999_8" localSheetId="9">GMIC_22A_SCDPT6SN1!$J$14</definedName>
    <definedName name="SCDPT6SN1_0299999_9" localSheetId="9">GMIC_22A_SCDPT6SN1!$K$14</definedName>
    <definedName name="SCDPT6SN1_02BEGIN_1" localSheetId="9">GMIC_22A_SCDPT6SN1!$C$11</definedName>
    <definedName name="SCDPT6SN1_02BEGIN_10" localSheetId="9">GMIC_22A_SCDPT6SN1!$L$11</definedName>
    <definedName name="SCDPT6SN1_02BEGIN_11" localSheetId="9">GMIC_22A_SCDPT6SN1!$M$11</definedName>
    <definedName name="SCDPT6SN1_02BEGIN_12" localSheetId="9">GMIC_22A_SCDPT6SN1!$N$11</definedName>
    <definedName name="SCDPT6SN1_02BEGIN_13" localSheetId="9">GMIC_22A_SCDPT6SN1!$O$11</definedName>
    <definedName name="SCDPT6SN1_02BEGIN_14" localSheetId="9">GMIC_22A_SCDPT6SN1!$P$11</definedName>
    <definedName name="SCDPT6SN1_02BEGIN_15" localSheetId="9">GMIC_22A_SCDPT6SN1!$Q$11</definedName>
    <definedName name="SCDPT6SN1_02BEGIN_16" localSheetId="9">GMIC_22A_SCDPT6SN1!$R$11</definedName>
    <definedName name="SCDPT6SN1_02BEGIN_17" localSheetId="9">GMIC_22A_SCDPT6SN1!$S$11</definedName>
    <definedName name="SCDPT6SN1_02BEGIN_18" localSheetId="9">GMIC_22A_SCDPT6SN1!$T$11</definedName>
    <definedName name="SCDPT6SN1_02BEGIN_19" localSheetId="9">GMIC_22A_SCDPT6SN1!$U$11</definedName>
    <definedName name="SCDPT6SN1_02BEGIN_2" localSheetId="9">GMIC_22A_SCDPT6SN1!$D$11</definedName>
    <definedName name="SCDPT6SN1_02BEGIN_3" localSheetId="9">GMIC_22A_SCDPT6SN1!$E$11</definedName>
    <definedName name="SCDPT6SN1_02BEGIN_4" localSheetId="9">GMIC_22A_SCDPT6SN1!$F$11</definedName>
    <definedName name="SCDPT6SN1_02BEGIN_5" localSheetId="9">GMIC_22A_SCDPT6SN1!$G$11</definedName>
    <definedName name="SCDPT6SN1_02BEGIN_6" localSheetId="9">GMIC_22A_SCDPT6SN1!$H$11</definedName>
    <definedName name="SCDPT6SN1_02BEGIN_7" localSheetId="9">GMIC_22A_SCDPT6SN1!$I$11</definedName>
    <definedName name="SCDPT6SN1_02BEGIN_8" localSheetId="9">GMIC_22A_SCDPT6SN1!$J$11</definedName>
    <definedName name="SCDPT6SN1_02BEGIN_9" localSheetId="9">GMIC_22A_SCDPT6SN1!$K$11</definedName>
    <definedName name="SCDPT6SN1_02ENDIN_10" localSheetId="9">GMIC_22A_SCDPT6SN1!$L$13</definedName>
    <definedName name="SCDPT6SN1_02ENDIN_11" localSheetId="9">GMIC_22A_SCDPT6SN1!$M$13</definedName>
    <definedName name="SCDPT6SN1_02ENDIN_12" localSheetId="9">GMIC_22A_SCDPT6SN1!$N$13</definedName>
    <definedName name="SCDPT6SN1_02ENDIN_13" localSheetId="9">GMIC_22A_SCDPT6SN1!$O$13</definedName>
    <definedName name="SCDPT6SN1_02ENDIN_14" localSheetId="9">GMIC_22A_SCDPT6SN1!$P$13</definedName>
    <definedName name="SCDPT6SN1_02ENDIN_15" localSheetId="9">GMIC_22A_SCDPT6SN1!$Q$13</definedName>
    <definedName name="SCDPT6SN1_02ENDIN_16" localSheetId="9">GMIC_22A_SCDPT6SN1!$R$13</definedName>
    <definedName name="SCDPT6SN1_02ENDIN_17" localSheetId="9">GMIC_22A_SCDPT6SN1!$S$13</definedName>
    <definedName name="SCDPT6SN1_02ENDIN_18" localSheetId="9">GMIC_22A_SCDPT6SN1!$T$13</definedName>
    <definedName name="SCDPT6SN1_02ENDIN_19" localSheetId="9">GMIC_22A_SCDPT6SN1!$U$13</definedName>
    <definedName name="SCDPT6SN1_02ENDIN_2" localSheetId="9">GMIC_22A_SCDPT6SN1!$D$13</definedName>
    <definedName name="SCDPT6SN1_02ENDIN_3" localSheetId="9">GMIC_22A_SCDPT6SN1!$E$13</definedName>
    <definedName name="SCDPT6SN1_02ENDIN_4" localSheetId="9">GMIC_22A_SCDPT6SN1!$F$13</definedName>
    <definedName name="SCDPT6SN1_02ENDIN_5" localSheetId="9">GMIC_22A_SCDPT6SN1!$G$13</definedName>
    <definedName name="SCDPT6SN1_02ENDIN_6" localSheetId="9">GMIC_22A_SCDPT6SN1!$H$13</definedName>
    <definedName name="SCDPT6SN1_02ENDIN_7" localSheetId="9">GMIC_22A_SCDPT6SN1!$I$13</definedName>
    <definedName name="SCDPT6SN1_02ENDIN_8" localSheetId="9">GMIC_22A_SCDPT6SN1!$J$13</definedName>
    <definedName name="SCDPT6SN1_02ENDIN_9" localSheetId="9">GMIC_22A_SCDPT6SN1!$K$13</definedName>
    <definedName name="SCDPT6SN1_0300000_Range" localSheetId="9">GMIC_22A_SCDPT6SN1!$B$15:$U$17</definedName>
    <definedName name="SCDPT6SN1_0399999_16" localSheetId="9">GMIC_22A_SCDPT6SN1!$R$18</definedName>
    <definedName name="SCDPT6SN1_0399999_17" localSheetId="9">GMIC_22A_SCDPT6SN1!$S$18</definedName>
    <definedName name="SCDPT6SN1_0399999_18" localSheetId="9">GMIC_22A_SCDPT6SN1!$T$18</definedName>
    <definedName name="SCDPT6SN1_0399999_7" localSheetId="9">GMIC_22A_SCDPT6SN1!$I$18</definedName>
    <definedName name="SCDPT6SN1_0399999_8" localSheetId="9">GMIC_22A_SCDPT6SN1!$J$18</definedName>
    <definedName name="SCDPT6SN1_0399999_9" localSheetId="9">GMIC_22A_SCDPT6SN1!$K$18</definedName>
    <definedName name="SCDPT6SN1_03BEGIN_1" localSheetId="9">GMIC_22A_SCDPT6SN1!$C$15</definedName>
    <definedName name="SCDPT6SN1_03BEGIN_10" localSheetId="9">GMIC_22A_SCDPT6SN1!$L$15</definedName>
    <definedName name="SCDPT6SN1_03BEGIN_11" localSheetId="9">GMIC_22A_SCDPT6SN1!$M$15</definedName>
    <definedName name="SCDPT6SN1_03BEGIN_12" localSheetId="9">GMIC_22A_SCDPT6SN1!$N$15</definedName>
    <definedName name="SCDPT6SN1_03BEGIN_13" localSheetId="9">GMIC_22A_SCDPT6SN1!$O$15</definedName>
    <definedName name="SCDPT6SN1_03BEGIN_14" localSheetId="9">GMIC_22A_SCDPT6SN1!$P$15</definedName>
    <definedName name="SCDPT6SN1_03BEGIN_15" localSheetId="9">GMIC_22A_SCDPT6SN1!$Q$15</definedName>
    <definedName name="SCDPT6SN1_03BEGIN_16" localSheetId="9">GMIC_22A_SCDPT6SN1!$R$15</definedName>
    <definedName name="SCDPT6SN1_03BEGIN_17" localSheetId="9">GMIC_22A_SCDPT6SN1!$S$15</definedName>
    <definedName name="SCDPT6SN1_03BEGIN_18" localSheetId="9">GMIC_22A_SCDPT6SN1!$T$15</definedName>
    <definedName name="SCDPT6SN1_03BEGIN_19" localSheetId="9">GMIC_22A_SCDPT6SN1!$U$15</definedName>
    <definedName name="SCDPT6SN1_03BEGIN_2" localSheetId="9">GMIC_22A_SCDPT6SN1!$D$15</definedName>
    <definedName name="SCDPT6SN1_03BEGIN_3" localSheetId="9">GMIC_22A_SCDPT6SN1!$E$15</definedName>
    <definedName name="SCDPT6SN1_03BEGIN_4" localSheetId="9">GMIC_22A_SCDPT6SN1!$F$15</definedName>
    <definedName name="SCDPT6SN1_03BEGIN_5" localSheetId="9">GMIC_22A_SCDPT6SN1!$G$15</definedName>
    <definedName name="SCDPT6SN1_03BEGIN_6" localSheetId="9">GMIC_22A_SCDPT6SN1!$H$15</definedName>
    <definedName name="SCDPT6SN1_03BEGIN_7" localSheetId="9">GMIC_22A_SCDPT6SN1!$I$15</definedName>
    <definedName name="SCDPT6SN1_03BEGIN_8" localSheetId="9">GMIC_22A_SCDPT6SN1!$J$15</definedName>
    <definedName name="SCDPT6SN1_03BEGIN_9" localSheetId="9">GMIC_22A_SCDPT6SN1!$K$15</definedName>
    <definedName name="SCDPT6SN1_03ENDIN_10" localSheetId="9">GMIC_22A_SCDPT6SN1!$L$17</definedName>
    <definedName name="SCDPT6SN1_03ENDIN_11" localSheetId="9">GMIC_22A_SCDPT6SN1!$M$17</definedName>
    <definedName name="SCDPT6SN1_03ENDIN_12" localSheetId="9">GMIC_22A_SCDPT6SN1!$N$17</definedName>
    <definedName name="SCDPT6SN1_03ENDIN_13" localSheetId="9">GMIC_22A_SCDPT6SN1!$O$17</definedName>
    <definedName name="SCDPT6SN1_03ENDIN_14" localSheetId="9">GMIC_22A_SCDPT6SN1!$P$17</definedName>
    <definedName name="SCDPT6SN1_03ENDIN_15" localSheetId="9">GMIC_22A_SCDPT6SN1!$Q$17</definedName>
    <definedName name="SCDPT6SN1_03ENDIN_16" localSheetId="9">GMIC_22A_SCDPT6SN1!$R$17</definedName>
    <definedName name="SCDPT6SN1_03ENDIN_17" localSheetId="9">GMIC_22A_SCDPT6SN1!$S$17</definedName>
    <definedName name="SCDPT6SN1_03ENDIN_18" localSheetId="9">GMIC_22A_SCDPT6SN1!$T$17</definedName>
    <definedName name="SCDPT6SN1_03ENDIN_19" localSheetId="9">GMIC_22A_SCDPT6SN1!$U$17</definedName>
    <definedName name="SCDPT6SN1_03ENDIN_2" localSheetId="9">GMIC_22A_SCDPT6SN1!$D$17</definedName>
    <definedName name="SCDPT6SN1_03ENDIN_3" localSheetId="9">GMIC_22A_SCDPT6SN1!$E$17</definedName>
    <definedName name="SCDPT6SN1_03ENDIN_4" localSheetId="9">GMIC_22A_SCDPT6SN1!$F$17</definedName>
    <definedName name="SCDPT6SN1_03ENDIN_5" localSheetId="9">GMIC_22A_SCDPT6SN1!$G$17</definedName>
    <definedName name="SCDPT6SN1_03ENDIN_6" localSheetId="9">GMIC_22A_SCDPT6SN1!$H$17</definedName>
    <definedName name="SCDPT6SN1_03ENDIN_7" localSheetId="9">GMIC_22A_SCDPT6SN1!$I$17</definedName>
    <definedName name="SCDPT6SN1_03ENDIN_8" localSheetId="9">GMIC_22A_SCDPT6SN1!$J$17</definedName>
    <definedName name="SCDPT6SN1_03ENDIN_9" localSheetId="9">GMIC_22A_SCDPT6SN1!$K$17</definedName>
    <definedName name="SCDPT6SN1_0400000_Range" localSheetId="9">GMIC_22A_SCDPT6SN1!$B$19:$U$21</definedName>
    <definedName name="SCDPT6SN1_0499999_16" localSheetId="9">GMIC_22A_SCDPT6SN1!$R$22</definedName>
    <definedName name="SCDPT6SN1_0499999_17" localSheetId="9">GMIC_22A_SCDPT6SN1!$S$22</definedName>
    <definedName name="SCDPT6SN1_0499999_18" localSheetId="9">GMIC_22A_SCDPT6SN1!$T$22</definedName>
    <definedName name="SCDPT6SN1_0499999_7" localSheetId="9">GMIC_22A_SCDPT6SN1!$I$22</definedName>
    <definedName name="SCDPT6SN1_0499999_8" localSheetId="9">GMIC_22A_SCDPT6SN1!$J$22</definedName>
    <definedName name="SCDPT6SN1_0499999_9" localSheetId="9">GMIC_22A_SCDPT6SN1!$K$22</definedName>
    <definedName name="SCDPT6SN1_04BEGIN_1" localSheetId="9">GMIC_22A_SCDPT6SN1!$C$19</definedName>
    <definedName name="SCDPT6SN1_04BEGIN_10" localSheetId="9">GMIC_22A_SCDPT6SN1!$L$19</definedName>
    <definedName name="SCDPT6SN1_04BEGIN_11" localSheetId="9">GMIC_22A_SCDPT6SN1!$M$19</definedName>
    <definedName name="SCDPT6SN1_04BEGIN_12" localSheetId="9">GMIC_22A_SCDPT6SN1!$N$19</definedName>
    <definedName name="SCDPT6SN1_04BEGIN_13" localSheetId="9">GMIC_22A_SCDPT6SN1!$O$19</definedName>
    <definedName name="SCDPT6SN1_04BEGIN_14" localSheetId="9">GMIC_22A_SCDPT6SN1!$P$19</definedName>
    <definedName name="SCDPT6SN1_04BEGIN_15" localSheetId="9">GMIC_22A_SCDPT6SN1!$Q$19</definedName>
    <definedName name="SCDPT6SN1_04BEGIN_16" localSheetId="9">GMIC_22A_SCDPT6SN1!$R$19</definedName>
    <definedName name="SCDPT6SN1_04BEGIN_17" localSheetId="9">GMIC_22A_SCDPT6SN1!$S$19</definedName>
    <definedName name="SCDPT6SN1_04BEGIN_18" localSheetId="9">GMIC_22A_SCDPT6SN1!$T$19</definedName>
    <definedName name="SCDPT6SN1_04BEGIN_19" localSheetId="9">GMIC_22A_SCDPT6SN1!$U$19</definedName>
    <definedName name="SCDPT6SN1_04BEGIN_2" localSheetId="9">GMIC_22A_SCDPT6SN1!$D$19</definedName>
    <definedName name="SCDPT6SN1_04BEGIN_3" localSheetId="9">GMIC_22A_SCDPT6SN1!$E$19</definedName>
    <definedName name="SCDPT6SN1_04BEGIN_4" localSheetId="9">GMIC_22A_SCDPT6SN1!$F$19</definedName>
    <definedName name="SCDPT6SN1_04BEGIN_5" localSheetId="9">GMIC_22A_SCDPT6SN1!$G$19</definedName>
    <definedName name="SCDPT6SN1_04BEGIN_6" localSheetId="9">GMIC_22A_SCDPT6SN1!$H$19</definedName>
    <definedName name="SCDPT6SN1_04BEGIN_7" localSheetId="9">GMIC_22A_SCDPT6SN1!$I$19</definedName>
    <definedName name="SCDPT6SN1_04BEGIN_8" localSheetId="9">GMIC_22A_SCDPT6SN1!$J$19</definedName>
    <definedName name="SCDPT6SN1_04BEGIN_9" localSheetId="9">GMIC_22A_SCDPT6SN1!$K$19</definedName>
    <definedName name="SCDPT6SN1_04ENDIN_10" localSheetId="9">GMIC_22A_SCDPT6SN1!$L$21</definedName>
    <definedName name="SCDPT6SN1_04ENDIN_11" localSheetId="9">GMIC_22A_SCDPT6SN1!$M$21</definedName>
    <definedName name="SCDPT6SN1_04ENDIN_12" localSheetId="9">GMIC_22A_SCDPT6SN1!$N$21</definedName>
    <definedName name="SCDPT6SN1_04ENDIN_13" localSheetId="9">GMIC_22A_SCDPT6SN1!$O$21</definedName>
    <definedName name="SCDPT6SN1_04ENDIN_14" localSheetId="9">GMIC_22A_SCDPT6SN1!$P$21</definedName>
    <definedName name="SCDPT6SN1_04ENDIN_15" localSheetId="9">GMIC_22A_SCDPT6SN1!$Q$21</definedName>
    <definedName name="SCDPT6SN1_04ENDIN_16" localSheetId="9">GMIC_22A_SCDPT6SN1!$R$21</definedName>
    <definedName name="SCDPT6SN1_04ENDIN_17" localSheetId="9">GMIC_22A_SCDPT6SN1!$S$21</definedName>
    <definedName name="SCDPT6SN1_04ENDIN_18" localSheetId="9">GMIC_22A_SCDPT6SN1!$T$21</definedName>
    <definedName name="SCDPT6SN1_04ENDIN_19" localSheetId="9">GMIC_22A_SCDPT6SN1!$U$21</definedName>
    <definedName name="SCDPT6SN1_04ENDIN_2" localSheetId="9">GMIC_22A_SCDPT6SN1!$D$21</definedName>
    <definedName name="SCDPT6SN1_04ENDIN_3" localSheetId="9">GMIC_22A_SCDPT6SN1!$E$21</definedName>
    <definedName name="SCDPT6SN1_04ENDIN_4" localSheetId="9">GMIC_22A_SCDPT6SN1!$F$21</definedName>
    <definedName name="SCDPT6SN1_04ENDIN_5" localSheetId="9">GMIC_22A_SCDPT6SN1!$G$21</definedName>
    <definedName name="SCDPT6SN1_04ENDIN_6" localSheetId="9">GMIC_22A_SCDPT6SN1!$H$21</definedName>
    <definedName name="SCDPT6SN1_04ENDIN_7" localSheetId="9">GMIC_22A_SCDPT6SN1!$I$21</definedName>
    <definedName name="SCDPT6SN1_04ENDIN_8" localSheetId="9">GMIC_22A_SCDPT6SN1!$J$21</definedName>
    <definedName name="SCDPT6SN1_04ENDIN_9" localSheetId="9">GMIC_22A_SCDPT6SN1!$K$21</definedName>
    <definedName name="SCDPT6SN1_0500000_Range" localSheetId="9">GMIC_22A_SCDPT6SN1!$B$23:$U$25</definedName>
    <definedName name="SCDPT6SN1_0599999_16" localSheetId="9">GMIC_22A_SCDPT6SN1!$R$26</definedName>
    <definedName name="SCDPT6SN1_0599999_17" localSheetId="9">GMIC_22A_SCDPT6SN1!$S$26</definedName>
    <definedName name="SCDPT6SN1_0599999_18" localSheetId="9">GMIC_22A_SCDPT6SN1!$T$26</definedName>
    <definedName name="SCDPT6SN1_0599999_7" localSheetId="9">GMIC_22A_SCDPT6SN1!$I$26</definedName>
    <definedName name="SCDPT6SN1_0599999_8" localSheetId="9">GMIC_22A_SCDPT6SN1!$J$26</definedName>
    <definedName name="SCDPT6SN1_0599999_9" localSheetId="9">GMIC_22A_SCDPT6SN1!$K$26</definedName>
    <definedName name="SCDPT6SN1_05BEGIN_1" localSheetId="9">GMIC_22A_SCDPT6SN1!$C$23</definedName>
    <definedName name="SCDPT6SN1_05BEGIN_10" localSheetId="9">GMIC_22A_SCDPT6SN1!$L$23</definedName>
    <definedName name="SCDPT6SN1_05BEGIN_11" localSheetId="9">GMIC_22A_SCDPT6SN1!$M$23</definedName>
    <definedName name="SCDPT6SN1_05BEGIN_12" localSheetId="9">GMIC_22A_SCDPT6SN1!$N$23</definedName>
    <definedName name="SCDPT6SN1_05BEGIN_13" localSheetId="9">GMIC_22A_SCDPT6SN1!$O$23</definedName>
    <definedName name="SCDPT6SN1_05BEGIN_14" localSheetId="9">GMIC_22A_SCDPT6SN1!$P$23</definedName>
    <definedName name="SCDPT6SN1_05BEGIN_15" localSheetId="9">GMIC_22A_SCDPT6SN1!$Q$23</definedName>
    <definedName name="SCDPT6SN1_05BEGIN_16" localSheetId="9">GMIC_22A_SCDPT6SN1!$R$23</definedName>
    <definedName name="SCDPT6SN1_05BEGIN_17" localSheetId="9">GMIC_22A_SCDPT6SN1!$S$23</definedName>
    <definedName name="SCDPT6SN1_05BEGIN_18" localSheetId="9">GMIC_22A_SCDPT6SN1!$T$23</definedName>
    <definedName name="SCDPT6SN1_05BEGIN_19" localSheetId="9">GMIC_22A_SCDPT6SN1!$U$23</definedName>
    <definedName name="SCDPT6SN1_05BEGIN_2" localSheetId="9">GMIC_22A_SCDPT6SN1!$D$23</definedName>
    <definedName name="SCDPT6SN1_05BEGIN_3" localSheetId="9">GMIC_22A_SCDPT6SN1!$E$23</definedName>
    <definedName name="SCDPT6SN1_05BEGIN_4" localSheetId="9">GMIC_22A_SCDPT6SN1!$F$23</definedName>
    <definedName name="SCDPT6SN1_05BEGIN_5" localSheetId="9">GMIC_22A_SCDPT6SN1!$G$23</definedName>
    <definedName name="SCDPT6SN1_05BEGIN_6" localSheetId="9">GMIC_22A_SCDPT6SN1!$H$23</definedName>
    <definedName name="SCDPT6SN1_05BEGIN_7" localSheetId="9">GMIC_22A_SCDPT6SN1!$I$23</definedName>
    <definedName name="SCDPT6SN1_05BEGIN_8" localSheetId="9">GMIC_22A_SCDPT6SN1!$J$23</definedName>
    <definedName name="SCDPT6SN1_05BEGIN_9" localSheetId="9">GMIC_22A_SCDPT6SN1!$K$23</definedName>
    <definedName name="SCDPT6SN1_05ENDIN_10" localSheetId="9">GMIC_22A_SCDPT6SN1!$L$25</definedName>
    <definedName name="SCDPT6SN1_05ENDIN_11" localSheetId="9">GMIC_22A_SCDPT6SN1!$M$25</definedName>
    <definedName name="SCDPT6SN1_05ENDIN_12" localSheetId="9">GMIC_22A_SCDPT6SN1!$N$25</definedName>
    <definedName name="SCDPT6SN1_05ENDIN_13" localSheetId="9">GMIC_22A_SCDPT6SN1!$O$25</definedName>
    <definedName name="SCDPT6SN1_05ENDIN_14" localSheetId="9">GMIC_22A_SCDPT6SN1!$P$25</definedName>
    <definedName name="SCDPT6SN1_05ENDIN_15" localSheetId="9">GMIC_22A_SCDPT6SN1!$Q$25</definedName>
    <definedName name="SCDPT6SN1_05ENDIN_16" localSheetId="9">GMIC_22A_SCDPT6SN1!$R$25</definedName>
    <definedName name="SCDPT6SN1_05ENDIN_17" localSheetId="9">GMIC_22A_SCDPT6SN1!$S$25</definedName>
    <definedName name="SCDPT6SN1_05ENDIN_18" localSheetId="9">GMIC_22A_SCDPT6SN1!$T$25</definedName>
    <definedName name="SCDPT6SN1_05ENDIN_19" localSheetId="9">GMIC_22A_SCDPT6SN1!$U$25</definedName>
    <definedName name="SCDPT6SN1_05ENDIN_2" localSheetId="9">GMIC_22A_SCDPT6SN1!$D$25</definedName>
    <definedName name="SCDPT6SN1_05ENDIN_3" localSheetId="9">GMIC_22A_SCDPT6SN1!$E$25</definedName>
    <definedName name="SCDPT6SN1_05ENDIN_4" localSheetId="9">GMIC_22A_SCDPT6SN1!$F$25</definedName>
    <definedName name="SCDPT6SN1_05ENDIN_5" localSheetId="9">GMIC_22A_SCDPT6SN1!$G$25</definedName>
    <definedName name="SCDPT6SN1_05ENDIN_6" localSheetId="9">GMIC_22A_SCDPT6SN1!$H$25</definedName>
    <definedName name="SCDPT6SN1_05ENDIN_7" localSheetId="9">GMIC_22A_SCDPT6SN1!$I$25</definedName>
    <definedName name="SCDPT6SN1_05ENDIN_8" localSheetId="9">GMIC_22A_SCDPT6SN1!$J$25</definedName>
    <definedName name="SCDPT6SN1_05ENDIN_9" localSheetId="9">GMIC_22A_SCDPT6SN1!$K$25</definedName>
    <definedName name="SCDPT6SN1_0600000_Range" localSheetId="9">GMIC_22A_SCDPT6SN1!$B$27:$U$29</definedName>
    <definedName name="SCDPT6SN1_0699999_16" localSheetId="9">GMIC_22A_SCDPT6SN1!$R$30</definedName>
    <definedName name="SCDPT6SN1_0699999_17" localSheetId="9">GMIC_22A_SCDPT6SN1!$S$30</definedName>
    <definedName name="SCDPT6SN1_0699999_18" localSheetId="9">GMIC_22A_SCDPT6SN1!$T$30</definedName>
    <definedName name="SCDPT6SN1_0699999_7" localSheetId="9">GMIC_22A_SCDPT6SN1!$I$30</definedName>
    <definedName name="SCDPT6SN1_0699999_8" localSheetId="9">GMIC_22A_SCDPT6SN1!$J$30</definedName>
    <definedName name="SCDPT6SN1_0699999_9" localSheetId="9">GMIC_22A_SCDPT6SN1!$K$30</definedName>
    <definedName name="SCDPT6SN1_06BEGIN_1" localSheetId="9">GMIC_22A_SCDPT6SN1!$C$27</definedName>
    <definedName name="SCDPT6SN1_06BEGIN_10" localSheetId="9">GMIC_22A_SCDPT6SN1!$L$27</definedName>
    <definedName name="SCDPT6SN1_06BEGIN_11" localSheetId="9">GMIC_22A_SCDPT6SN1!$M$27</definedName>
    <definedName name="SCDPT6SN1_06BEGIN_12" localSheetId="9">GMIC_22A_SCDPT6SN1!$N$27</definedName>
    <definedName name="SCDPT6SN1_06BEGIN_13" localSheetId="9">GMIC_22A_SCDPT6SN1!$O$27</definedName>
    <definedName name="SCDPT6SN1_06BEGIN_14" localSheetId="9">GMIC_22A_SCDPT6SN1!$P$27</definedName>
    <definedName name="SCDPT6SN1_06BEGIN_15" localSheetId="9">GMIC_22A_SCDPT6SN1!$Q$27</definedName>
    <definedName name="SCDPT6SN1_06BEGIN_16" localSheetId="9">GMIC_22A_SCDPT6SN1!$R$27</definedName>
    <definedName name="SCDPT6SN1_06BEGIN_17" localSheetId="9">GMIC_22A_SCDPT6SN1!$S$27</definedName>
    <definedName name="SCDPT6SN1_06BEGIN_18" localSheetId="9">GMIC_22A_SCDPT6SN1!$T$27</definedName>
    <definedName name="SCDPT6SN1_06BEGIN_19" localSheetId="9">GMIC_22A_SCDPT6SN1!$U$27</definedName>
    <definedName name="SCDPT6SN1_06BEGIN_2" localSheetId="9">GMIC_22A_SCDPT6SN1!$D$27</definedName>
    <definedName name="SCDPT6SN1_06BEGIN_3" localSheetId="9">GMIC_22A_SCDPT6SN1!$E$27</definedName>
    <definedName name="SCDPT6SN1_06BEGIN_4" localSheetId="9">GMIC_22A_SCDPT6SN1!$F$27</definedName>
    <definedName name="SCDPT6SN1_06BEGIN_5" localSheetId="9">GMIC_22A_SCDPT6SN1!$G$27</definedName>
    <definedName name="SCDPT6SN1_06BEGIN_6" localSheetId="9">GMIC_22A_SCDPT6SN1!$H$27</definedName>
    <definedName name="SCDPT6SN1_06BEGIN_7" localSheetId="9">GMIC_22A_SCDPT6SN1!$I$27</definedName>
    <definedName name="SCDPT6SN1_06BEGIN_8" localSheetId="9">GMIC_22A_SCDPT6SN1!$J$27</definedName>
    <definedName name="SCDPT6SN1_06BEGIN_9" localSheetId="9">GMIC_22A_SCDPT6SN1!$K$27</definedName>
    <definedName name="SCDPT6SN1_06ENDIN_10" localSheetId="9">GMIC_22A_SCDPT6SN1!$L$29</definedName>
    <definedName name="SCDPT6SN1_06ENDIN_11" localSheetId="9">GMIC_22A_SCDPT6SN1!$M$29</definedName>
    <definedName name="SCDPT6SN1_06ENDIN_12" localSheetId="9">GMIC_22A_SCDPT6SN1!$N$29</definedName>
    <definedName name="SCDPT6SN1_06ENDIN_13" localSheetId="9">GMIC_22A_SCDPT6SN1!$O$29</definedName>
    <definedName name="SCDPT6SN1_06ENDIN_14" localSheetId="9">GMIC_22A_SCDPT6SN1!$P$29</definedName>
    <definedName name="SCDPT6SN1_06ENDIN_15" localSheetId="9">GMIC_22A_SCDPT6SN1!$Q$29</definedName>
    <definedName name="SCDPT6SN1_06ENDIN_16" localSheetId="9">GMIC_22A_SCDPT6SN1!$R$29</definedName>
    <definedName name="SCDPT6SN1_06ENDIN_17" localSheetId="9">GMIC_22A_SCDPT6SN1!$S$29</definedName>
    <definedName name="SCDPT6SN1_06ENDIN_18" localSheetId="9">GMIC_22A_SCDPT6SN1!$T$29</definedName>
    <definedName name="SCDPT6SN1_06ENDIN_19" localSheetId="9">GMIC_22A_SCDPT6SN1!$U$29</definedName>
    <definedName name="SCDPT6SN1_06ENDIN_2" localSheetId="9">GMIC_22A_SCDPT6SN1!$D$29</definedName>
    <definedName name="SCDPT6SN1_06ENDIN_3" localSheetId="9">GMIC_22A_SCDPT6SN1!$E$29</definedName>
    <definedName name="SCDPT6SN1_06ENDIN_4" localSheetId="9">GMIC_22A_SCDPT6SN1!$F$29</definedName>
    <definedName name="SCDPT6SN1_06ENDIN_5" localSheetId="9">GMIC_22A_SCDPT6SN1!$G$29</definedName>
    <definedName name="SCDPT6SN1_06ENDIN_6" localSheetId="9">GMIC_22A_SCDPT6SN1!$H$29</definedName>
    <definedName name="SCDPT6SN1_06ENDIN_7" localSheetId="9">GMIC_22A_SCDPT6SN1!$I$29</definedName>
    <definedName name="SCDPT6SN1_06ENDIN_8" localSheetId="9">GMIC_22A_SCDPT6SN1!$J$29</definedName>
    <definedName name="SCDPT6SN1_06ENDIN_9" localSheetId="9">GMIC_22A_SCDPT6SN1!$K$29</definedName>
    <definedName name="SCDPT6SN1_0700000_Range" localSheetId="9">GMIC_22A_SCDPT6SN1!$B$31:$U$33</definedName>
    <definedName name="SCDPT6SN1_0799999_16" localSheetId="9">GMIC_22A_SCDPT6SN1!$R$34</definedName>
    <definedName name="SCDPT6SN1_0799999_17" localSheetId="9">GMIC_22A_SCDPT6SN1!$S$34</definedName>
    <definedName name="SCDPT6SN1_0799999_18" localSheetId="9">GMIC_22A_SCDPT6SN1!$T$34</definedName>
    <definedName name="SCDPT6SN1_0799999_7" localSheetId="9">GMIC_22A_SCDPT6SN1!$I$34</definedName>
    <definedName name="SCDPT6SN1_0799999_8" localSheetId="9">GMIC_22A_SCDPT6SN1!$J$34</definedName>
    <definedName name="SCDPT6SN1_0799999_9" localSheetId="9">GMIC_22A_SCDPT6SN1!$K$34</definedName>
    <definedName name="SCDPT6SN1_07BEGIN_1" localSheetId="9">GMIC_22A_SCDPT6SN1!$C$31</definedName>
    <definedName name="SCDPT6SN1_07BEGIN_10" localSheetId="9">GMIC_22A_SCDPT6SN1!$L$31</definedName>
    <definedName name="SCDPT6SN1_07BEGIN_11" localSheetId="9">GMIC_22A_SCDPT6SN1!$M$31</definedName>
    <definedName name="SCDPT6SN1_07BEGIN_12" localSheetId="9">GMIC_22A_SCDPT6SN1!$N$31</definedName>
    <definedName name="SCDPT6SN1_07BEGIN_13" localSheetId="9">GMIC_22A_SCDPT6SN1!$O$31</definedName>
    <definedName name="SCDPT6SN1_07BEGIN_14" localSheetId="9">GMIC_22A_SCDPT6SN1!$P$31</definedName>
    <definedName name="SCDPT6SN1_07BEGIN_15" localSheetId="9">GMIC_22A_SCDPT6SN1!$Q$31</definedName>
    <definedName name="SCDPT6SN1_07BEGIN_16" localSheetId="9">GMIC_22A_SCDPT6SN1!$R$31</definedName>
    <definedName name="SCDPT6SN1_07BEGIN_17" localSheetId="9">GMIC_22A_SCDPT6SN1!$S$31</definedName>
    <definedName name="SCDPT6SN1_07BEGIN_18" localSheetId="9">GMIC_22A_SCDPT6SN1!$T$31</definedName>
    <definedName name="SCDPT6SN1_07BEGIN_19" localSheetId="9">GMIC_22A_SCDPT6SN1!$U$31</definedName>
    <definedName name="SCDPT6SN1_07BEGIN_2" localSheetId="9">GMIC_22A_SCDPT6SN1!$D$31</definedName>
    <definedName name="SCDPT6SN1_07BEGIN_3" localSheetId="9">GMIC_22A_SCDPT6SN1!$E$31</definedName>
    <definedName name="SCDPT6SN1_07BEGIN_4" localSheetId="9">GMIC_22A_SCDPT6SN1!$F$31</definedName>
    <definedName name="SCDPT6SN1_07BEGIN_5" localSheetId="9">GMIC_22A_SCDPT6SN1!$G$31</definedName>
    <definedName name="SCDPT6SN1_07BEGIN_6" localSheetId="9">GMIC_22A_SCDPT6SN1!$H$31</definedName>
    <definedName name="SCDPT6SN1_07BEGIN_7" localSheetId="9">GMIC_22A_SCDPT6SN1!$I$31</definedName>
    <definedName name="SCDPT6SN1_07BEGIN_8" localSheetId="9">GMIC_22A_SCDPT6SN1!$J$31</definedName>
    <definedName name="SCDPT6SN1_07BEGIN_9" localSheetId="9">GMIC_22A_SCDPT6SN1!$K$31</definedName>
    <definedName name="SCDPT6SN1_07ENDIN_10" localSheetId="9">GMIC_22A_SCDPT6SN1!$L$33</definedName>
    <definedName name="SCDPT6SN1_07ENDIN_11" localSheetId="9">GMIC_22A_SCDPT6SN1!$M$33</definedName>
    <definedName name="SCDPT6SN1_07ENDIN_12" localSheetId="9">GMIC_22A_SCDPT6SN1!$N$33</definedName>
    <definedName name="SCDPT6SN1_07ENDIN_13" localSheetId="9">GMIC_22A_SCDPT6SN1!$O$33</definedName>
    <definedName name="SCDPT6SN1_07ENDIN_14" localSheetId="9">GMIC_22A_SCDPT6SN1!$P$33</definedName>
    <definedName name="SCDPT6SN1_07ENDIN_15" localSheetId="9">GMIC_22A_SCDPT6SN1!$Q$33</definedName>
    <definedName name="SCDPT6SN1_07ENDIN_16" localSheetId="9">GMIC_22A_SCDPT6SN1!$R$33</definedName>
    <definedName name="SCDPT6SN1_07ENDIN_17" localSheetId="9">GMIC_22A_SCDPT6SN1!$S$33</definedName>
    <definedName name="SCDPT6SN1_07ENDIN_18" localSheetId="9">GMIC_22A_SCDPT6SN1!$T$33</definedName>
    <definedName name="SCDPT6SN1_07ENDIN_19" localSheetId="9">GMIC_22A_SCDPT6SN1!$U$33</definedName>
    <definedName name="SCDPT6SN1_07ENDIN_2" localSheetId="9">GMIC_22A_SCDPT6SN1!$D$33</definedName>
    <definedName name="SCDPT6SN1_07ENDIN_3" localSheetId="9">GMIC_22A_SCDPT6SN1!$E$33</definedName>
    <definedName name="SCDPT6SN1_07ENDIN_4" localSheetId="9">GMIC_22A_SCDPT6SN1!$F$33</definedName>
    <definedName name="SCDPT6SN1_07ENDIN_5" localSheetId="9">GMIC_22A_SCDPT6SN1!$G$33</definedName>
    <definedName name="SCDPT6SN1_07ENDIN_6" localSheetId="9">GMIC_22A_SCDPT6SN1!$H$33</definedName>
    <definedName name="SCDPT6SN1_07ENDIN_7" localSheetId="9">GMIC_22A_SCDPT6SN1!$I$33</definedName>
    <definedName name="SCDPT6SN1_07ENDIN_8" localSheetId="9">GMIC_22A_SCDPT6SN1!$J$33</definedName>
    <definedName name="SCDPT6SN1_07ENDIN_9" localSheetId="9">GMIC_22A_SCDPT6SN1!$K$33</definedName>
    <definedName name="SCDPT6SN1_0800000_Range" localSheetId="9">GMIC_22A_SCDPT6SN1!$B$35:$U$37</definedName>
    <definedName name="SCDPT6SN1_0899999_16" localSheetId="9">GMIC_22A_SCDPT6SN1!$R$38</definedName>
    <definedName name="SCDPT6SN1_0899999_17" localSheetId="9">GMIC_22A_SCDPT6SN1!$S$38</definedName>
    <definedName name="SCDPT6SN1_0899999_18" localSheetId="9">GMIC_22A_SCDPT6SN1!$T$38</definedName>
    <definedName name="SCDPT6SN1_0899999_7" localSheetId="9">GMIC_22A_SCDPT6SN1!$I$38</definedName>
    <definedName name="SCDPT6SN1_0899999_8" localSheetId="9">GMIC_22A_SCDPT6SN1!$J$38</definedName>
    <definedName name="SCDPT6SN1_0899999_9" localSheetId="9">GMIC_22A_SCDPT6SN1!$K$38</definedName>
    <definedName name="SCDPT6SN1_08BEGIN_1" localSheetId="9">GMIC_22A_SCDPT6SN1!$C$35</definedName>
    <definedName name="SCDPT6SN1_08BEGIN_10" localSheetId="9">GMIC_22A_SCDPT6SN1!$L$35</definedName>
    <definedName name="SCDPT6SN1_08BEGIN_11" localSheetId="9">GMIC_22A_SCDPT6SN1!$M$35</definedName>
    <definedName name="SCDPT6SN1_08BEGIN_12" localSheetId="9">GMIC_22A_SCDPT6SN1!$N$35</definedName>
    <definedName name="SCDPT6SN1_08BEGIN_13" localSheetId="9">GMIC_22A_SCDPT6SN1!$O$35</definedName>
    <definedName name="SCDPT6SN1_08BEGIN_14" localSheetId="9">GMIC_22A_SCDPT6SN1!$P$35</definedName>
    <definedName name="SCDPT6SN1_08BEGIN_15" localSheetId="9">GMIC_22A_SCDPT6SN1!$Q$35</definedName>
    <definedName name="SCDPT6SN1_08BEGIN_16" localSheetId="9">GMIC_22A_SCDPT6SN1!$R$35</definedName>
    <definedName name="SCDPT6SN1_08BEGIN_17" localSheetId="9">GMIC_22A_SCDPT6SN1!$S$35</definedName>
    <definedName name="SCDPT6SN1_08BEGIN_18" localSheetId="9">GMIC_22A_SCDPT6SN1!$T$35</definedName>
    <definedName name="SCDPT6SN1_08BEGIN_19" localSheetId="9">GMIC_22A_SCDPT6SN1!$U$35</definedName>
    <definedName name="SCDPT6SN1_08BEGIN_2" localSheetId="9">GMIC_22A_SCDPT6SN1!$D$35</definedName>
    <definedName name="SCDPT6SN1_08BEGIN_3" localSheetId="9">GMIC_22A_SCDPT6SN1!$E$35</definedName>
    <definedName name="SCDPT6SN1_08BEGIN_4" localSheetId="9">GMIC_22A_SCDPT6SN1!$F$35</definedName>
    <definedName name="SCDPT6SN1_08BEGIN_5" localSheetId="9">GMIC_22A_SCDPT6SN1!$G$35</definedName>
    <definedName name="SCDPT6SN1_08BEGIN_6" localSheetId="9">GMIC_22A_SCDPT6SN1!$H$35</definedName>
    <definedName name="SCDPT6SN1_08BEGIN_7" localSheetId="9">GMIC_22A_SCDPT6SN1!$I$35</definedName>
    <definedName name="SCDPT6SN1_08BEGIN_8" localSheetId="9">GMIC_22A_SCDPT6SN1!$J$35</definedName>
    <definedName name="SCDPT6SN1_08BEGIN_9" localSheetId="9">GMIC_22A_SCDPT6SN1!$K$35</definedName>
    <definedName name="SCDPT6SN1_08ENDIN_10" localSheetId="9">GMIC_22A_SCDPT6SN1!$L$37</definedName>
    <definedName name="SCDPT6SN1_08ENDIN_11" localSheetId="9">GMIC_22A_SCDPT6SN1!$M$37</definedName>
    <definedName name="SCDPT6SN1_08ENDIN_12" localSheetId="9">GMIC_22A_SCDPT6SN1!$N$37</definedName>
    <definedName name="SCDPT6SN1_08ENDIN_13" localSheetId="9">GMIC_22A_SCDPT6SN1!$O$37</definedName>
    <definedName name="SCDPT6SN1_08ENDIN_14" localSheetId="9">GMIC_22A_SCDPT6SN1!$P$37</definedName>
    <definedName name="SCDPT6SN1_08ENDIN_15" localSheetId="9">GMIC_22A_SCDPT6SN1!$Q$37</definedName>
    <definedName name="SCDPT6SN1_08ENDIN_16" localSheetId="9">GMIC_22A_SCDPT6SN1!$R$37</definedName>
    <definedName name="SCDPT6SN1_08ENDIN_17" localSheetId="9">GMIC_22A_SCDPT6SN1!$S$37</definedName>
    <definedName name="SCDPT6SN1_08ENDIN_18" localSheetId="9">GMIC_22A_SCDPT6SN1!$T$37</definedName>
    <definedName name="SCDPT6SN1_08ENDIN_19" localSheetId="9">GMIC_22A_SCDPT6SN1!$U$37</definedName>
    <definedName name="SCDPT6SN1_08ENDIN_2" localSheetId="9">GMIC_22A_SCDPT6SN1!$D$37</definedName>
    <definedName name="SCDPT6SN1_08ENDIN_3" localSheetId="9">GMIC_22A_SCDPT6SN1!$E$37</definedName>
    <definedName name="SCDPT6SN1_08ENDIN_4" localSheetId="9">GMIC_22A_SCDPT6SN1!$F$37</definedName>
    <definedName name="SCDPT6SN1_08ENDIN_5" localSheetId="9">GMIC_22A_SCDPT6SN1!$G$37</definedName>
    <definedName name="SCDPT6SN1_08ENDIN_6" localSheetId="9">GMIC_22A_SCDPT6SN1!$H$37</definedName>
    <definedName name="SCDPT6SN1_08ENDIN_7" localSheetId="9">GMIC_22A_SCDPT6SN1!$I$37</definedName>
    <definedName name="SCDPT6SN1_08ENDIN_8" localSheetId="9">GMIC_22A_SCDPT6SN1!$J$37</definedName>
    <definedName name="SCDPT6SN1_08ENDIN_9" localSheetId="9">GMIC_22A_SCDPT6SN1!$K$37</definedName>
    <definedName name="SCDPT6SN1_0999999_16" localSheetId="9">GMIC_22A_SCDPT6SN1!$R$39</definedName>
    <definedName name="SCDPT6SN1_0999999_17" localSheetId="9">GMIC_22A_SCDPT6SN1!$S$39</definedName>
    <definedName name="SCDPT6SN1_0999999_18" localSheetId="9">GMIC_22A_SCDPT6SN1!$T$39</definedName>
    <definedName name="SCDPT6SN1_0999999_7" localSheetId="9">GMIC_22A_SCDPT6SN1!$I$39</definedName>
    <definedName name="SCDPT6SN1_0999999_8" localSheetId="9">GMIC_22A_SCDPT6SN1!$J$39</definedName>
    <definedName name="SCDPT6SN1_0999999_9" localSheetId="9">GMIC_22A_SCDPT6SN1!$K$39</definedName>
    <definedName name="SCDPT6SN1_1000000_Range" localSheetId="9">GMIC_22A_SCDPT6SN1!$B$40:$U$42</definedName>
    <definedName name="SCDPT6SN1_1099999_16" localSheetId="9">GMIC_22A_SCDPT6SN1!$R$43</definedName>
    <definedName name="SCDPT6SN1_1099999_17" localSheetId="9">GMIC_22A_SCDPT6SN1!$S$43</definedName>
    <definedName name="SCDPT6SN1_1099999_18" localSheetId="9">GMIC_22A_SCDPT6SN1!$T$43</definedName>
    <definedName name="SCDPT6SN1_1099999_7" localSheetId="9">GMIC_22A_SCDPT6SN1!$I$43</definedName>
    <definedName name="SCDPT6SN1_1099999_8" localSheetId="9">GMIC_22A_SCDPT6SN1!$J$43</definedName>
    <definedName name="SCDPT6SN1_1099999_9" localSheetId="9">GMIC_22A_SCDPT6SN1!$K$43</definedName>
    <definedName name="SCDPT6SN1_10BEGIN_1" localSheetId="9">GMIC_22A_SCDPT6SN1!$C$40</definedName>
    <definedName name="SCDPT6SN1_10BEGIN_10" localSheetId="9">GMIC_22A_SCDPT6SN1!$L$40</definedName>
    <definedName name="SCDPT6SN1_10BEGIN_11" localSheetId="9">GMIC_22A_SCDPT6SN1!$M$40</definedName>
    <definedName name="SCDPT6SN1_10BEGIN_12" localSheetId="9">GMIC_22A_SCDPT6SN1!$N$40</definedName>
    <definedName name="SCDPT6SN1_10BEGIN_13" localSheetId="9">GMIC_22A_SCDPT6SN1!$O$40</definedName>
    <definedName name="SCDPT6SN1_10BEGIN_14" localSheetId="9">GMIC_22A_SCDPT6SN1!$P$40</definedName>
    <definedName name="SCDPT6SN1_10BEGIN_15" localSheetId="9">GMIC_22A_SCDPT6SN1!$Q$40</definedName>
    <definedName name="SCDPT6SN1_10BEGIN_16" localSheetId="9">GMIC_22A_SCDPT6SN1!$R$40</definedName>
    <definedName name="SCDPT6SN1_10BEGIN_17" localSheetId="9">GMIC_22A_SCDPT6SN1!$S$40</definedName>
    <definedName name="SCDPT6SN1_10BEGIN_18" localSheetId="9">GMIC_22A_SCDPT6SN1!$T$40</definedName>
    <definedName name="SCDPT6SN1_10BEGIN_19" localSheetId="9">GMIC_22A_SCDPT6SN1!$U$40</definedName>
    <definedName name="SCDPT6SN1_10BEGIN_2" localSheetId="9">GMIC_22A_SCDPT6SN1!$D$40</definedName>
    <definedName name="SCDPT6SN1_10BEGIN_3" localSheetId="9">GMIC_22A_SCDPT6SN1!$E$40</definedName>
    <definedName name="SCDPT6SN1_10BEGIN_4" localSheetId="9">GMIC_22A_SCDPT6SN1!$F$40</definedName>
    <definedName name="SCDPT6SN1_10BEGIN_5" localSheetId="9">GMIC_22A_SCDPT6SN1!$G$40</definedName>
    <definedName name="SCDPT6SN1_10BEGIN_6" localSheetId="9">GMIC_22A_SCDPT6SN1!$H$40</definedName>
    <definedName name="SCDPT6SN1_10BEGIN_7" localSheetId="9">GMIC_22A_SCDPT6SN1!$I$40</definedName>
    <definedName name="SCDPT6SN1_10BEGIN_8" localSheetId="9">GMIC_22A_SCDPT6SN1!$J$40</definedName>
    <definedName name="SCDPT6SN1_10BEGIN_9" localSheetId="9">GMIC_22A_SCDPT6SN1!$K$40</definedName>
    <definedName name="SCDPT6SN1_10ENDIN_10" localSheetId="9">GMIC_22A_SCDPT6SN1!$L$42</definedName>
    <definedName name="SCDPT6SN1_10ENDIN_11" localSheetId="9">GMIC_22A_SCDPT6SN1!$M$42</definedName>
    <definedName name="SCDPT6SN1_10ENDIN_12" localSheetId="9">GMIC_22A_SCDPT6SN1!$N$42</definedName>
    <definedName name="SCDPT6SN1_10ENDIN_13" localSheetId="9">GMIC_22A_SCDPT6SN1!$O$42</definedName>
    <definedName name="SCDPT6SN1_10ENDIN_14" localSheetId="9">GMIC_22A_SCDPT6SN1!$P$42</definedName>
    <definedName name="SCDPT6SN1_10ENDIN_15" localSheetId="9">GMIC_22A_SCDPT6SN1!$Q$42</definedName>
    <definedName name="SCDPT6SN1_10ENDIN_16" localSheetId="9">GMIC_22A_SCDPT6SN1!$R$42</definedName>
    <definedName name="SCDPT6SN1_10ENDIN_17" localSheetId="9">GMIC_22A_SCDPT6SN1!$S$42</definedName>
    <definedName name="SCDPT6SN1_10ENDIN_18" localSheetId="9">GMIC_22A_SCDPT6SN1!$T$42</definedName>
    <definedName name="SCDPT6SN1_10ENDIN_19" localSheetId="9">GMIC_22A_SCDPT6SN1!$U$42</definedName>
    <definedName name="SCDPT6SN1_10ENDIN_2" localSheetId="9">GMIC_22A_SCDPT6SN1!$D$42</definedName>
    <definedName name="SCDPT6SN1_10ENDIN_3" localSheetId="9">GMIC_22A_SCDPT6SN1!$E$42</definedName>
    <definedName name="SCDPT6SN1_10ENDIN_4" localSheetId="9">GMIC_22A_SCDPT6SN1!$F$42</definedName>
    <definedName name="SCDPT6SN1_10ENDIN_5" localSheetId="9">GMIC_22A_SCDPT6SN1!$G$42</definedName>
    <definedName name="SCDPT6SN1_10ENDIN_6" localSheetId="9">GMIC_22A_SCDPT6SN1!$H$42</definedName>
    <definedName name="SCDPT6SN1_10ENDIN_7" localSheetId="9">GMIC_22A_SCDPT6SN1!$I$42</definedName>
    <definedName name="SCDPT6SN1_10ENDIN_8" localSheetId="9">GMIC_22A_SCDPT6SN1!$J$42</definedName>
    <definedName name="SCDPT6SN1_10ENDIN_9" localSheetId="9">GMIC_22A_SCDPT6SN1!$K$42</definedName>
    <definedName name="SCDPT6SN1_1100000_Range" localSheetId="9">GMIC_22A_SCDPT6SN1!$B$44:$U$46</definedName>
    <definedName name="SCDPT6SN1_1199999_16" localSheetId="9">GMIC_22A_SCDPT6SN1!$R$47</definedName>
    <definedName name="SCDPT6SN1_1199999_17" localSheetId="9">GMIC_22A_SCDPT6SN1!$S$47</definedName>
    <definedName name="SCDPT6SN1_1199999_18" localSheetId="9">GMIC_22A_SCDPT6SN1!$T$47</definedName>
    <definedName name="SCDPT6SN1_1199999_7" localSheetId="9">GMIC_22A_SCDPT6SN1!$I$47</definedName>
    <definedName name="SCDPT6SN1_1199999_8" localSheetId="9">GMIC_22A_SCDPT6SN1!$J$47</definedName>
    <definedName name="SCDPT6SN1_1199999_9" localSheetId="9">GMIC_22A_SCDPT6SN1!$K$47</definedName>
    <definedName name="SCDPT6SN1_11BEGIN_1" localSheetId="9">GMIC_22A_SCDPT6SN1!$C$44</definedName>
    <definedName name="SCDPT6SN1_11BEGIN_10" localSheetId="9">GMIC_22A_SCDPT6SN1!$L$44</definedName>
    <definedName name="SCDPT6SN1_11BEGIN_11" localSheetId="9">GMIC_22A_SCDPT6SN1!$M$44</definedName>
    <definedName name="SCDPT6SN1_11BEGIN_12" localSheetId="9">GMIC_22A_SCDPT6SN1!$N$44</definedName>
    <definedName name="SCDPT6SN1_11BEGIN_13" localSheetId="9">GMIC_22A_SCDPT6SN1!$O$44</definedName>
    <definedName name="SCDPT6SN1_11BEGIN_14" localSheetId="9">GMIC_22A_SCDPT6SN1!$P$44</definedName>
    <definedName name="SCDPT6SN1_11BEGIN_15" localSheetId="9">GMIC_22A_SCDPT6SN1!$Q$44</definedName>
    <definedName name="SCDPT6SN1_11BEGIN_16" localSheetId="9">GMIC_22A_SCDPT6SN1!$R$44</definedName>
    <definedName name="SCDPT6SN1_11BEGIN_17" localSheetId="9">GMIC_22A_SCDPT6SN1!$S$44</definedName>
    <definedName name="SCDPT6SN1_11BEGIN_18" localSheetId="9">GMIC_22A_SCDPT6SN1!$T$44</definedName>
    <definedName name="SCDPT6SN1_11BEGIN_19" localSheetId="9">GMIC_22A_SCDPT6SN1!$U$44</definedName>
    <definedName name="SCDPT6SN1_11BEGIN_2" localSheetId="9">GMIC_22A_SCDPT6SN1!$D$44</definedName>
    <definedName name="SCDPT6SN1_11BEGIN_3" localSheetId="9">GMIC_22A_SCDPT6SN1!$E$44</definedName>
    <definedName name="SCDPT6SN1_11BEGIN_4" localSheetId="9">GMIC_22A_SCDPT6SN1!$F$44</definedName>
    <definedName name="SCDPT6SN1_11BEGIN_5" localSheetId="9">GMIC_22A_SCDPT6SN1!$G$44</definedName>
    <definedName name="SCDPT6SN1_11BEGIN_6" localSheetId="9">GMIC_22A_SCDPT6SN1!$H$44</definedName>
    <definedName name="SCDPT6SN1_11BEGIN_7" localSheetId="9">GMIC_22A_SCDPT6SN1!$I$44</definedName>
    <definedName name="SCDPT6SN1_11BEGIN_8" localSheetId="9">GMIC_22A_SCDPT6SN1!$J$44</definedName>
    <definedName name="SCDPT6SN1_11BEGIN_9" localSheetId="9">GMIC_22A_SCDPT6SN1!$K$44</definedName>
    <definedName name="SCDPT6SN1_11ENDIN_10" localSheetId="9">GMIC_22A_SCDPT6SN1!$L$46</definedName>
    <definedName name="SCDPT6SN1_11ENDIN_11" localSheetId="9">GMIC_22A_SCDPT6SN1!$M$46</definedName>
    <definedName name="SCDPT6SN1_11ENDIN_12" localSheetId="9">GMIC_22A_SCDPT6SN1!$N$46</definedName>
    <definedName name="SCDPT6SN1_11ENDIN_13" localSheetId="9">GMIC_22A_SCDPT6SN1!$O$46</definedName>
    <definedName name="SCDPT6SN1_11ENDIN_14" localSheetId="9">GMIC_22A_SCDPT6SN1!$P$46</definedName>
    <definedName name="SCDPT6SN1_11ENDIN_15" localSheetId="9">GMIC_22A_SCDPT6SN1!$Q$46</definedName>
    <definedName name="SCDPT6SN1_11ENDIN_16" localSheetId="9">GMIC_22A_SCDPT6SN1!$R$46</definedName>
    <definedName name="SCDPT6SN1_11ENDIN_17" localSheetId="9">GMIC_22A_SCDPT6SN1!$S$46</definedName>
    <definedName name="SCDPT6SN1_11ENDIN_18" localSheetId="9">GMIC_22A_SCDPT6SN1!$T$46</definedName>
    <definedName name="SCDPT6SN1_11ENDIN_19" localSheetId="9">GMIC_22A_SCDPT6SN1!$U$46</definedName>
    <definedName name="SCDPT6SN1_11ENDIN_2" localSheetId="9">GMIC_22A_SCDPT6SN1!$D$46</definedName>
    <definedName name="SCDPT6SN1_11ENDIN_3" localSheetId="9">GMIC_22A_SCDPT6SN1!$E$46</definedName>
    <definedName name="SCDPT6SN1_11ENDIN_4" localSheetId="9">GMIC_22A_SCDPT6SN1!$F$46</definedName>
    <definedName name="SCDPT6SN1_11ENDIN_5" localSheetId="9">GMIC_22A_SCDPT6SN1!$G$46</definedName>
    <definedName name="SCDPT6SN1_11ENDIN_6" localSheetId="9">GMIC_22A_SCDPT6SN1!$H$46</definedName>
    <definedName name="SCDPT6SN1_11ENDIN_7" localSheetId="9">GMIC_22A_SCDPT6SN1!$I$46</definedName>
    <definedName name="SCDPT6SN1_11ENDIN_8" localSheetId="9">GMIC_22A_SCDPT6SN1!$J$46</definedName>
    <definedName name="SCDPT6SN1_11ENDIN_9" localSheetId="9">GMIC_22A_SCDPT6SN1!$K$46</definedName>
    <definedName name="SCDPT6SN1_1200000_Range" localSheetId="9">GMIC_22A_SCDPT6SN1!$B$48:$U$50</definedName>
    <definedName name="SCDPT6SN1_1299999_16" localSheetId="9">GMIC_22A_SCDPT6SN1!$R$51</definedName>
    <definedName name="SCDPT6SN1_1299999_17" localSheetId="9">GMIC_22A_SCDPT6SN1!$S$51</definedName>
    <definedName name="SCDPT6SN1_1299999_18" localSheetId="9">GMIC_22A_SCDPT6SN1!$T$51</definedName>
    <definedName name="SCDPT6SN1_1299999_7" localSheetId="9">GMIC_22A_SCDPT6SN1!$I$51</definedName>
    <definedName name="SCDPT6SN1_1299999_8" localSheetId="9">GMIC_22A_SCDPT6SN1!$J$51</definedName>
    <definedName name="SCDPT6SN1_1299999_9" localSheetId="9">GMIC_22A_SCDPT6SN1!$K$51</definedName>
    <definedName name="SCDPT6SN1_12BEGIN_1" localSheetId="9">GMIC_22A_SCDPT6SN1!$C$48</definedName>
    <definedName name="SCDPT6SN1_12BEGIN_10" localSheetId="9">GMIC_22A_SCDPT6SN1!$L$48</definedName>
    <definedName name="SCDPT6SN1_12BEGIN_11" localSheetId="9">GMIC_22A_SCDPT6SN1!$M$48</definedName>
    <definedName name="SCDPT6SN1_12BEGIN_12" localSheetId="9">GMIC_22A_SCDPT6SN1!$N$48</definedName>
    <definedName name="SCDPT6SN1_12BEGIN_13" localSheetId="9">GMIC_22A_SCDPT6SN1!$O$48</definedName>
    <definedName name="SCDPT6SN1_12BEGIN_14" localSheetId="9">GMIC_22A_SCDPT6SN1!$P$48</definedName>
    <definedName name="SCDPT6SN1_12BEGIN_15" localSheetId="9">GMIC_22A_SCDPT6SN1!$Q$48</definedName>
    <definedName name="SCDPT6SN1_12BEGIN_16" localSheetId="9">GMIC_22A_SCDPT6SN1!$R$48</definedName>
    <definedName name="SCDPT6SN1_12BEGIN_17" localSheetId="9">GMIC_22A_SCDPT6SN1!$S$48</definedName>
    <definedName name="SCDPT6SN1_12BEGIN_18" localSheetId="9">GMIC_22A_SCDPT6SN1!$T$48</definedName>
    <definedName name="SCDPT6SN1_12BEGIN_19" localSheetId="9">GMIC_22A_SCDPT6SN1!$U$48</definedName>
    <definedName name="SCDPT6SN1_12BEGIN_2" localSheetId="9">GMIC_22A_SCDPT6SN1!$D$48</definedName>
    <definedName name="SCDPT6SN1_12BEGIN_3" localSheetId="9">GMIC_22A_SCDPT6SN1!$E$48</definedName>
    <definedName name="SCDPT6SN1_12BEGIN_4" localSheetId="9">GMIC_22A_SCDPT6SN1!$F$48</definedName>
    <definedName name="SCDPT6SN1_12BEGIN_5" localSheetId="9">GMIC_22A_SCDPT6SN1!$G$48</definedName>
    <definedName name="SCDPT6SN1_12BEGIN_6" localSheetId="9">GMIC_22A_SCDPT6SN1!$H$48</definedName>
    <definedName name="SCDPT6SN1_12BEGIN_7" localSheetId="9">GMIC_22A_SCDPT6SN1!$I$48</definedName>
    <definedName name="SCDPT6SN1_12BEGIN_8" localSheetId="9">GMIC_22A_SCDPT6SN1!$J$48</definedName>
    <definedName name="SCDPT6SN1_12BEGIN_9" localSheetId="9">GMIC_22A_SCDPT6SN1!$K$48</definedName>
    <definedName name="SCDPT6SN1_12ENDIN_10" localSheetId="9">GMIC_22A_SCDPT6SN1!$L$50</definedName>
    <definedName name="SCDPT6SN1_12ENDIN_11" localSheetId="9">GMIC_22A_SCDPT6SN1!$M$50</definedName>
    <definedName name="SCDPT6SN1_12ENDIN_12" localSheetId="9">GMIC_22A_SCDPT6SN1!$N$50</definedName>
    <definedName name="SCDPT6SN1_12ENDIN_13" localSheetId="9">GMIC_22A_SCDPT6SN1!$O$50</definedName>
    <definedName name="SCDPT6SN1_12ENDIN_14" localSheetId="9">GMIC_22A_SCDPT6SN1!$P$50</definedName>
    <definedName name="SCDPT6SN1_12ENDIN_15" localSheetId="9">GMIC_22A_SCDPT6SN1!$Q$50</definedName>
    <definedName name="SCDPT6SN1_12ENDIN_16" localSheetId="9">GMIC_22A_SCDPT6SN1!$R$50</definedName>
    <definedName name="SCDPT6SN1_12ENDIN_17" localSheetId="9">GMIC_22A_SCDPT6SN1!$S$50</definedName>
    <definedName name="SCDPT6SN1_12ENDIN_18" localSheetId="9">GMIC_22A_SCDPT6SN1!$T$50</definedName>
    <definedName name="SCDPT6SN1_12ENDIN_19" localSheetId="9">GMIC_22A_SCDPT6SN1!$U$50</definedName>
    <definedName name="SCDPT6SN1_12ENDIN_2" localSheetId="9">GMIC_22A_SCDPT6SN1!$D$50</definedName>
    <definedName name="SCDPT6SN1_12ENDIN_3" localSheetId="9">GMIC_22A_SCDPT6SN1!$E$50</definedName>
    <definedName name="SCDPT6SN1_12ENDIN_4" localSheetId="9">GMIC_22A_SCDPT6SN1!$F$50</definedName>
    <definedName name="SCDPT6SN1_12ENDIN_5" localSheetId="9">GMIC_22A_SCDPT6SN1!$G$50</definedName>
    <definedName name="SCDPT6SN1_12ENDIN_6" localSheetId="9">GMIC_22A_SCDPT6SN1!$H$50</definedName>
    <definedName name="SCDPT6SN1_12ENDIN_7" localSheetId="9">GMIC_22A_SCDPT6SN1!$I$50</definedName>
    <definedName name="SCDPT6SN1_12ENDIN_8" localSheetId="9">GMIC_22A_SCDPT6SN1!$J$50</definedName>
    <definedName name="SCDPT6SN1_12ENDIN_9" localSheetId="9">GMIC_22A_SCDPT6SN1!$K$50</definedName>
    <definedName name="SCDPT6SN1_1300000_Range" localSheetId="9">GMIC_22A_SCDPT6SN1!$B$52:$U$54</definedName>
    <definedName name="SCDPT6SN1_1399999_16" localSheetId="9">GMIC_22A_SCDPT6SN1!$R$55</definedName>
    <definedName name="SCDPT6SN1_1399999_17" localSheetId="9">GMIC_22A_SCDPT6SN1!$S$55</definedName>
    <definedName name="SCDPT6SN1_1399999_18" localSheetId="9">GMIC_22A_SCDPT6SN1!$T$55</definedName>
    <definedName name="SCDPT6SN1_1399999_7" localSheetId="9">GMIC_22A_SCDPT6SN1!$I$55</definedName>
    <definedName name="SCDPT6SN1_1399999_8" localSheetId="9">GMIC_22A_SCDPT6SN1!$J$55</definedName>
    <definedName name="SCDPT6SN1_1399999_9" localSheetId="9">GMIC_22A_SCDPT6SN1!$K$55</definedName>
    <definedName name="SCDPT6SN1_13BEGIN_1" localSheetId="9">GMIC_22A_SCDPT6SN1!$C$52</definedName>
    <definedName name="SCDPT6SN1_13BEGIN_10" localSheetId="9">GMIC_22A_SCDPT6SN1!$L$52</definedName>
    <definedName name="SCDPT6SN1_13BEGIN_11" localSheetId="9">GMIC_22A_SCDPT6SN1!$M$52</definedName>
    <definedName name="SCDPT6SN1_13BEGIN_12" localSheetId="9">GMIC_22A_SCDPT6SN1!$N$52</definedName>
    <definedName name="SCDPT6SN1_13BEGIN_13" localSheetId="9">GMIC_22A_SCDPT6SN1!$O$52</definedName>
    <definedName name="SCDPT6SN1_13BEGIN_14" localSheetId="9">GMIC_22A_SCDPT6SN1!$P$52</definedName>
    <definedName name="SCDPT6SN1_13BEGIN_15" localSheetId="9">GMIC_22A_SCDPT6SN1!$Q$52</definedName>
    <definedName name="SCDPT6SN1_13BEGIN_16" localSheetId="9">GMIC_22A_SCDPT6SN1!$R$52</definedName>
    <definedName name="SCDPT6SN1_13BEGIN_17" localSheetId="9">GMIC_22A_SCDPT6SN1!$S$52</definedName>
    <definedName name="SCDPT6SN1_13BEGIN_18" localSheetId="9">GMIC_22A_SCDPT6SN1!$T$52</definedName>
    <definedName name="SCDPT6SN1_13BEGIN_19" localSheetId="9">GMIC_22A_SCDPT6SN1!$U$52</definedName>
    <definedName name="SCDPT6SN1_13BEGIN_2" localSheetId="9">GMIC_22A_SCDPT6SN1!$D$52</definedName>
    <definedName name="SCDPT6SN1_13BEGIN_3" localSheetId="9">GMIC_22A_SCDPT6SN1!$E$52</definedName>
    <definedName name="SCDPT6SN1_13BEGIN_4" localSheetId="9">GMIC_22A_SCDPT6SN1!$F$52</definedName>
    <definedName name="SCDPT6SN1_13BEGIN_5" localSheetId="9">GMIC_22A_SCDPT6SN1!$G$52</definedName>
    <definedName name="SCDPT6SN1_13BEGIN_6" localSheetId="9">GMIC_22A_SCDPT6SN1!$H$52</definedName>
    <definedName name="SCDPT6SN1_13BEGIN_7" localSheetId="9">GMIC_22A_SCDPT6SN1!$I$52</definedName>
    <definedName name="SCDPT6SN1_13BEGIN_8" localSheetId="9">GMIC_22A_SCDPT6SN1!$J$52</definedName>
    <definedName name="SCDPT6SN1_13BEGIN_9" localSheetId="9">GMIC_22A_SCDPT6SN1!$K$52</definedName>
    <definedName name="SCDPT6SN1_13ENDIN_10" localSheetId="9">GMIC_22A_SCDPT6SN1!$L$54</definedName>
    <definedName name="SCDPT6SN1_13ENDIN_11" localSheetId="9">GMIC_22A_SCDPT6SN1!$M$54</definedName>
    <definedName name="SCDPT6SN1_13ENDIN_12" localSheetId="9">GMIC_22A_SCDPT6SN1!$N$54</definedName>
    <definedName name="SCDPT6SN1_13ENDIN_13" localSheetId="9">GMIC_22A_SCDPT6SN1!$O$54</definedName>
    <definedName name="SCDPT6SN1_13ENDIN_14" localSheetId="9">GMIC_22A_SCDPT6SN1!$P$54</definedName>
    <definedName name="SCDPT6SN1_13ENDIN_15" localSheetId="9">GMIC_22A_SCDPT6SN1!$Q$54</definedName>
    <definedName name="SCDPT6SN1_13ENDIN_16" localSheetId="9">GMIC_22A_SCDPT6SN1!$R$54</definedName>
    <definedName name="SCDPT6SN1_13ENDIN_17" localSheetId="9">GMIC_22A_SCDPT6SN1!$S$54</definedName>
    <definedName name="SCDPT6SN1_13ENDIN_18" localSheetId="9">GMIC_22A_SCDPT6SN1!$T$54</definedName>
    <definedName name="SCDPT6SN1_13ENDIN_19" localSheetId="9">GMIC_22A_SCDPT6SN1!$U$54</definedName>
    <definedName name="SCDPT6SN1_13ENDIN_2" localSheetId="9">GMIC_22A_SCDPT6SN1!$D$54</definedName>
    <definedName name="SCDPT6SN1_13ENDIN_3" localSheetId="9">GMIC_22A_SCDPT6SN1!$E$54</definedName>
    <definedName name="SCDPT6SN1_13ENDIN_4" localSheetId="9">GMIC_22A_SCDPT6SN1!$F$54</definedName>
    <definedName name="SCDPT6SN1_13ENDIN_5" localSheetId="9">GMIC_22A_SCDPT6SN1!$G$54</definedName>
    <definedName name="SCDPT6SN1_13ENDIN_6" localSheetId="9">GMIC_22A_SCDPT6SN1!$H$54</definedName>
    <definedName name="SCDPT6SN1_13ENDIN_7" localSheetId="9">GMIC_22A_SCDPT6SN1!$I$54</definedName>
    <definedName name="SCDPT6SN1_13ENDIN_8" localSheetId="9">GMIC_22A_SCDPT6SN1!$J$54</definedName>
    <definedName name="SCDPT6SN1_13ENDIN_9" localSheetId="9">GMIC_22A_SCDPT6SN1!$K$54</definedName>
    <definedName name="SCDPT6SN1_1400000_Range" localSheetId="9">GMIC_22A_SCDPT6SN1!$B$56:$U$58</definedName>
    <definedName name="SCDPT6SN1_1499999_16" localSheetId="9">GMIC_22A_SCDPT6SN1!$R$59</definedName>
    <definedName name="SCDPT6SN1_1499999_17" localSheetId="9">GMIC_22A_SCDPT6SN1!$S$59</definedName>
    <definedName name="SCDPT6SN1_1499999_18" localSheetId="9">GMIC_22A_SCDPT6SN1!$T$59</definedName>
    <definedName name="SCDPT6SN1_1499999_7" localSheetId="9">GMIC_22A_SCDPT6SN1!$I$59</definedName>
    <definedName name="SCDPT6SN1_1499999_8" localSheetId="9">GMIC_22A_SCDPT6SN1!$J$59</definedName>
    <definedName name="SCDPT6SN1_1499999_9" localSheetId="9">GMIC_22A_SCDPT6SN1!$K$59</definedName>
    <definedName name="SCDPT6SN1_14BEGIN_1" localSheetId="9">GMIC_22A_SCDPT6SN1!$C$56</definedName>
    <definedName name="SCDPT6SN1_14BEGIN_10" localSheetId="9">GMIC_22A_SCDPT6SN1!$L$56</definedName>
    <definedName name="SCDPT6SN1_14BEGIN_11" localSheetId="9">GMIC_22A_SCDPT6SN1!$M$56</definedName>
    <definedName name="SCDPT6SN1_14BEGIN_12" localSheetId="9">GMIC_22A_SCDPT6SN1!$N$56</definedName>
    <definedName name="SCDPT6SN1_14BEGIN_13" localSheetId="9">GMIC_22A_SCDPT6SN1!$O$56</definedName>
    <definedName name="SCDPT6SN1_14BEGIN_14" localSheetId="9">GMIC_22A_SCDPT6SN1!$P$56</definedName>
    <definedName name="SCDPT6SN1_14BEGIN_15" localSheetId="9">GMIC_22A_SCDPT6SN1!$Q$56</definedName>
    <definedName name="SCDPT6SN1_14BEGIN_16" localSheetId="9">GMIC_22A_SCDPT6SN1!$R$56</definedName>
    <definedName name="SCDPT6SN1_14BEGIN_17" localSheetId="9">GMIC_22A_SCDPT6SN1!$S$56</definedName>
    <definedName name="SCDPT6SN1_14BEGIN_18" localSheetId="9">GMIC_22A_SCDPT6SN1!$T$56</definedName>
    <definedName name="SCDPT6SN1_14BEGIN_19" localSheetId="9">GMIC_22A_SCDPT6SN1!$U$56</definedName>
    <definedName name="SCDPT6SN1_14BEGIN_2" localSheetId="9">GMIC_22A_SCDPT6SN1!$D$56</definedName>
    <definedName name="SCDPT6SN1_14BEGIN_3" localSheetId="9">GMIC_22A_SCDPT6SN1!$E$56</definedName>
    <definedName name="SCDPT6SN1_14BEGIN_4" localSheetId="9">GMIC_22A_SCDPT6SN1!$F$56</definedName>
    <definedName name="SCDPT6SN1_14BEGIN_5" localSheetId="9">GMIC_22A_SCDPT6SN1!$G$56</definedName>
    <definedName name="SCDPT6SN1_14BEGIN_6" localSheetId="9">GMIC_22A_SCDPT6SN1!$H$56</definedName>
    <definedName name="SCDPT6SN1_14BEGIN_7" localSheetId="9">GMIC_22A_SCDPT6SN1!$I$56</definedName>
    <definedName name="SCDPT6SN1_14BEGIN_8" localSheetId="9">GMIC_22A_SCDPT6SN1!$J$56</definedName>
    <definedName name="SCDPT6SN1_14BEGIN_9" localSheetId="9">GMIC_22A_SCDPT6SN1!$K$56</definedName>
    <definedName name="SCDPT6SN1_14ENDIN_10" localSheetId="9">GMIC_22A_SCDPT6SN1!$L$58</definedName>
    <definedName name="SCDPT6SN1_14ENDIN_11" localSheetId="9">GMIC_22A_SCDPT6SN1!$M$58</definedName>
    <definedName name="SCDPT6SN1_14ENDIN_12" localSheetId="9">GMIC_22A_SCDPT6SN1!$N$58</definedName>
    <definedName name="SCDPT6SN1_14ENDIN_13" localSheetId="9">GMIC_22A_SCDPT6SN1!$O$58</definedName>
    <definedName name="SCDPT6SN1_14ENDIN_14" localSheetId="9">GMIC_22A_SCDPT6SN1!$P$58</definedName>
    <definedName name="SCDPT6SN1_14ENDIN_15" localSheetId="9">GMIC_22A_SCDPT6SN1!$Q$58</definedName>
    <definedName name="SCDPT6SN1_14ENDIN_16" localSheetId="9">GMIC_22A_SCDPT6SN1!$R$58</definedName>
    <definedName name="SCDPT6SN1_14ENDIN_17" localSheetId="9">GMIC_22A_SCDPT6SN1!$S$58</definedName>
    <definedName name="SCDPT6SN1_14ENDIN_18" localSheetId="9">GMIC_22A_SCDPT6SN1!$T$58</definedName>
    <definedName name="SCDPT6SN1_14ENDIN_19" localSheetId="9">GMIC_22A_SCDPT6SN1!$U$58</definedName>
    <definedName name="SCDPT6SN1_14ENDIN_2" localSheetId="9">GMIC_22A_SCDPT6SN1!$D$58</definedName>
    <definedName name="SCDPT6SN1_14ENDIN_3" localSheetId="9">GMIC_22A_SCDPT6SN1!$E$58</definedName>
    <definedName name="SCDPT6SN1_14ENDIN_4" localSheetId="9">GMIC_22A_SCDPT6SN1!$F$58</definedName>
    <definedName name="SCDPT6SN1_14ENDIN_5" localSheetId="9">GMIC_22A_SCDPT6SN1!$G$58</definedName>
    <definedName name="SCDPT6SN1_14ENDIN_6" localSheetId="9">GMIC_22A_SCDPT6SN1!$H$58</definedName>
    <definedName name="SCDPT6SN1_14ENDIN_7" localSheetId="9">GMIC_22A_SCDPT6SN1!$I$58</definedName>
    <definedName name="SCDPT6SN1_14ENDIN_8" localSheetId="9">GMIC_22A_SCDPT6SN1!$J$58</definedName>
    <definedName name="SCDPT6SN1_14ENDIN_9" localSheetId="9">GMIC_22A_SCDPT6SN1!$K$58</definedName>
    <definedName name="SCDPT6SN1_1500000_Range" localSheetId="9">GMIC_22A_SCDPT6SN1!$B$60:$U$62</definedName>
    <definedName name="SCDPT6SN1_1599999_16" localSheetId="9">GMIC_22A_SCDPT6SN1!$R$63</definedName>
    <definedName name="SCDPT6SN1_1599999_17" localSheetId="9">GMIC_22A_SCDPT6SN1!$S$63</definedName>
    <definedName name="SCDPT6SN1_1599999_18" localSheetId="9">GMIC_22A_SCDPT6SN1!$T$63</definedName>
    <definedName name="SCDPT6SN1_1599999_7" localSheetId="9">GMIC_22A_SCDPT6SN1!$I$63</definedName>
    <definedName name="SCDPT6SN1_1599999_8" localSheetId="9">GMIC_22A_SCDPT6SN1!$J$63</definedName>
    <definedName name="SCDPT6SN1_1599999_9" localSheetId="9">GMIC_22A_SCDPT6SN1!$K$63</definedName>
    <definedName name="SCDPT6SN1_15BEGIN_1" localSheetId="9">GMIC_22A_SCDPT6SN1!$C$60</definedName>
    <definedName name="SCDPT6SN1_15BEGIN_10" localSheetId="9">GMIC_22A_SCDPT6SN1!$L$60</definedName>
    <definedName name="SCDPT6SN1_15BEGIN_11" localSheetId="9">GMIC_22A_SCDPT6SN1!$M$60</definedName>
    <definedName name="SCDPT6SN1_15BEGIN_12" localSheetId="9">GMIC_22A_SCDPT6SN1!$N$60</definedName>
    <definedName name="SCDPT6SN1_15BEGIN_13" localSheetId="9">GMIC_22A_SCDPT6SN1!$O$60</definedName>
    <definedName name="SCDPT6SN1_15BEGIN_14" localSheetId="9">GMIC_22A_SCDPT6SN1!$P$60</definedName>
    <definedName name="SCDPT6SN1_15BEGIN_15" localSheetId="9">GMIC_22A_SCDPT6SN1!$Q$60</definedName>
    <definedName name="SCDPT6SN1_15BEGIN_16" localSheetId="9">GMIC_22A_SCDPT6SN1!$R$60</definedName>
    <definedName name="SCDPT6SN1_15BEGIN_17" localSheetId="9">GMIC_22A_SCDPT6SN1!$S$60</definedName>
    <definedName name="SCDPT6SN1_15BEGIN_18" localSheetId="9">GMIC_22A_SCDPT6SN1!$T$60</definedName>
    <definedName name="SCDPT6SN1_15BEGIN_19" localSheetId="9">GMIC_22A_SCDPT6SN1!$U$60</definedName>
    <definedName name="SCDPT6SN1_15BEGIN_2" localSheetId="9">GMIC_22A_SCDPT6SN1!$D$60</definedName>
    <definedName name="SCDPT6SN1_15BEGIN_3" localSheetId="9">GMIC_22A_SCDPT6SN1!$E$60</definedName>
    <definedName name="SCDPT6SN1_15BEGIN_4" localSheetId="9">GMIC_22A_SCDPT6SN1!$F$60</definedName>
    <definedName name="SCDPT6SN1_15BEGIN_5" localSheetId="9">GMIC_22A_SCDPT6SN1!$G$60</definedName>
    <definedName name="SCDPT6SN1_15BEGIN_6" localSheetId="9">GMIC_22A_SCDPT6SN1!$H$60</definedName>
    <definedName name="SCDPT6SN1_15BEGIN_7" localSheetId="9">GMIC_22A_SCDPT6SN1!$I$60</definedName>
    <definedName name="SCDPT6SN1_15BEGIN_8" localSheetId="9">GMIC_22A_SCDPT6SN1!$J$60</definedName>
    <definedName name="SCDPT6SN1_15BEGIN_9" localSheetId="9">GMIC_22A_SCDPT6SN1!$K$60</definedName>
    <definedName name="SCDPT6SN1_15ENDIN_10" localSheetId="9">GMIC_22A_SCDPT6SN1!$L$62</definedName>
    <definedName name="SCDPT6SN1_15ENDIN_11" localSheetId="9">GMIC_22A_SCDPT6SN1!$M$62</definedName>
    <definedName name="SCDPT6SN1_15ENDIN_12" localSheetId="9">GMIC_22A_SCDPT6SN1!$N$62</definedName>
    <definedName name="SCDPT6SN1_15ENDIN_13" localSheetId="9">GMIC_22A_SCDPT6SN1!$O$62</definedName>
    <definedName name="SCDPT6SN1_15ENDIN_14" localSheetId="9">GMIC_22A_SCDPT6SN1!$P$62</definedName>
    <definedName name="SCDPT6SN1_15ENDIN_15" localSheetId="9">GMIC_22A_SCDPT6SN1!$Q$62</definedName>
    <definedName name="SCDPT6SN1_15ENDIN_16" localSheetId="9">GMIC_22A_SCDPT6SN1!$R$62</definedName>
    <definedName name="SCDPT6SN1_15ENDIN_17" localSheetId="9">GMIC_22A_SCDPT6SN1!$S$62</definedName>
    <definedName name="SCDPT6SN1_15ENDIN_18" localSheetId="9">GMIC_22A_SCDPT6SN1!$T$62</definedName>
    <definedName name="SCDPT6SN1_15ENDIN_19" localSheetId="9">GMIC_22A_SCDPT6SN1!$U$62</definedName>
    <definedName name="SCDPT6SN1_15ENDIN_2" localSheetId="9">GMIC_22A_SCDPT6SN1!$D$62</definedName>
    <definedName name="SCDPT6SN1_15ENDIN_3" localSheetId="9">GMIC_22A_SCDPT6SN1!$E$62</definedName>
    <definedName name="SCDPT6SN1_15ENDIN_4" localSheetId="9">GMIC_22A_SCDPT6SN1!$F$62</definedName>
    <definedName name="SCDPT6SN1_15ENDIN_5" localSheetId="9">GMIC_22A_SCDPT6SN1!$G$62</definedName>
    <definedName name="SCDPT6SN1_15ENDIN_6" localSheetId="9">GMIC_22A_SCDPT6SN1!$H$62</definedName>
    <definedName name="SCDPT6SN1_15ENDIN_7" localSheetId="9">GMIC_22A_SCDPT6SN1!$I$62</definedName>
    <definedName name="SCDPT6SN1_15ENDIN_8" localSheetId="9">GMIC_22A_SCDPT6SN1!$J$62</definedName>
    <definedName name="SCDPT6SN1_15ENDIN_9" localSheetId="9">GMIC_22A_SCDPT6SN1!$K$62</definedName>
    <definedName name="SCDPT6SN1_1600000_Range" localSheetId="9">GMIC_22A_SCDPT6SN1!$B$64:$U$66</definedName>
    <definedName name="SCDPT6SN1_1699999_16" localSheetId="9">GMIC_22A_SCDPT6SN1!$R$67</definedName>
    <definedName name="SCDPT6SN1_1699999_17" localSheetId="9">GMIC_22A_SCDPT6SN1!$S$67</definedName>
    <definedName name="SCDPT6SN1_1699999_18" localSheetId="9">GMIC_22A_SCDPT6SN1!$T$67</definedName>
    <definedName name="SCDPT6SN1_1699999_7" localSheetId="9">GMIC_22A_SCDPT6SN1!$I$67</definedName>
    <definedName name="SCDPT6SN1_1699999_8" localSheetId="9">GMIC_22A_SCDPT6SN1!$J$67</definedName>
    <definedName name="SCDPT6SN1_1699999_9" localSheetId="9">GMIC_22A_SCDPT6SN1!$K$67</definedName>
    <definedName name="SCDPT6SN1_16BEGIN_1" localSheetId="9">GMIC_22A_SCDPT6SN1!$C$64</definedName>
    <definedName name="SCDPT6SN1_16BEGIN_10" localSheetId="9">GMIC_22A_SCDPT6SN1!$L$64</definedName>
    <definedName name="SCDPT6SN1_16BEGIN_11" localSheetId="9">GMIC_22A_SCDPT6SN1!$M$64</definedName>
    <definedName name="SCDPT6SN1_16BEGIN_12" localSheetId="9">GMIC_22A_SCDPT6SN1!$N$64</definedName>
    <definedName name="SCDPT6SN1_16BEGIN_13" localSheetId="9">GMIC_22A_SCDPT6SN1!$O$64</definedName>
    <definedName name="SCDPT6SN1_16BEGIN_14" localSheetId="9">GMIC_22A_SCDPT6SN1!$P$64</definedName>
    <definedName name="SCDPT6SN1_16BEGIN_15" localSheetId="9">GMIC_22A_SCDPT6SN1!$Q$64</definedName>
    <definedName name="SCDPT6SN1_16BEGIN_16" localSheetId="9">GMIC_22A_SCDPT6SN1!$R$64</definedName>
    <definedName name="SCDPT6SN1_16BEGIN_17" localSheetId="9">GMIC_22A_SCDPT6SN1!$S$64</definedName>
    <definedName name="SCDPT6SN1_16BEGIN_18" localSheetId="9">GMIC_22A_SCDPT6SN1!$T$64</definedName>
    <definedName name="SCDPT6SN1_16BEGIN_19" localSheetId="9">GMIC_22A_SCDPT6SN1!$U$64</definedName>
    <definedName name="SCDPT6SN1_16BEGIN_2" localSheetId="9">GMIC_22A_SCDPT6SN1!$D$64</definedName>
    <definedName name="SCDPT6SN1_16BEGIN_3" localSheetId="9">GMIC_22A_SCDPT6SN1!$E$64</definedName>
    <definedName name="SCDPT6SN1_16BEGIN_4" localSheetId="9">GMIC_22A_SCDPT6SN1!$F$64</definedName>
    <definedName name="SCDPT6SN1_16BEGIN_5" localSheetId="9">GMIC_22A_SCDPT6SN1!$G$64</definedName>
    <definedName name="SCDPT6SN1_16BEGIN_6" localSheetId="9">GMIC_22A_SCDPT6SN1!$H$64</definedName>
    <definedName name="SCDPT6SN1_16BEGIN_7" localSheetId="9">GMIC_22A_SCDPT6SN1!$I$64</definedName>
    <definedName name="SCDPT6SN1_16BEGIN_8" localSheetId="9">GMIC_22A_SCDPT6SN1!$J$64</definedName>
    <definedName name="SCDPT6SN1_16BEGIN_9" localSheetId="9">GMIC_22A_SCDPT6SN1!$K$64</definedName>
    <definedName name="SCDPT6SN1_16ENDIN_10" localSheetId="9">GMIC_22A_SCDPT6SN1!$L$66</definedName>
    <definedName name="SCDPT6SN1_16ENDIN_11" localSheetId="9">GMIC_22A_SCDPT6SN1!$M$66</definedName>
    <definedName name="SCDPT6SN1_16ENDIN_12" localSheetId="9">GMIC_22A_SCDPT6SN1!$N$66</definedName>
    <definedName name="SCDPT6SN1_16ENDIN_13" localSheetId="9">GMIC_22A_SCDPT6SN1!$O$66</definedName>
    <definedName name="SCDPT6SN1_16ENDIN_14" localSheetId="9">GMIC_22A_SCDPT6SN1!$P$66</definedName>
    <definedName name="SCDPT6SN1_16ENDIN_15" localSheetId="9">GMIC_22A_SCDPT6SN1!$Q$66</definedName>
    <definedName name="SCDPT6SN1_16ENDIN_16" localSheetId="9">GMIC_22A_SCDPT6SN1!$R$66</definedName>
    <definedName name="SCDPT6SN1_16ENDIN_17" localSheetId="9">GMIC_22A_SCDPT6SN1!$S$66</definedName>
    <definedName name="SCDPT6SN1_16ENDIN_18" localSheetId="9">GMIC_22A_SCDPT6SN1!$T$66</definedName>
    <definedName name="SCDPT6SN1_16ENDIN_19" localSheetId="9">GMIC_22A_SCDPT6SN1!$U$66</definedName>
    <definedName name="SCDPT6SN1_16ENDIN_2" localSheetId="9">GMIC_22A_SCDPT6SN1!$D$66</definedName>
    <definedName name="SCDPT6SN1_16ENDIN_3" localSheetId="9">GMIC_22A_SCDPT6SN1!$E$66</definedName>
    <definedName name="SCDPT6SN1_16ENDIN_4" localSheetId="9">GMIC_22A_SCDPT6SN1!$F$66</definedName>
    <definedName name="SCDPT6SN1_16ENDIN_5" localSheetId="9">GMIC_22A_SCDPT6SN1!$G$66</definedName>
    <definedName name="SCDPT6SN1_16ENDIN_6" localSheetId="9">GMIC_22A_SCDPT6SN1!$H$66</definedName>
    <definedName name="SCDPT6SN1_16ENDIN_7" localSheetId="9">GMIC_22A_SCDPT6SN1!$I$66</definedName>
    <definedName name="SCDPT6SN1_16ENDIN_8" localSheetId="9">GMIC_22A_SCDPT6SN1!$J$66</definedName>
    <definedName name="SCDPT6SN1_16ENDIN_9" localSheetId="9">GMIC_22A_SCDPT6SN1!$K$66</definedName>
    <definedName name="SCDPT6SN1_1700000_Range" localSheetId="9">GMIC_22A_SCDPT6SN1!$B$68:$U$70</definedName>
    <definedName name="SCDPT6SN1_1700001_1" localSheetId="9">GMIC_22A_SCDPT6SN1!$C$69</definedName>
    <definedName name="SCDPT6SN1_1700001_10" localSheetId="9">GMIC_22A_SCDPT6SN1!$L$69</definedName>
    <definedName name="SCDPT6SN1_1700001_11" localSheetId="9">GMIC_22A_SCDPT6SN1!$M$69</definedName>
    <definedName name="SCDPT6SN1_1700001_12" localSheetId="9">GMIC_22A_SCDPT6SN1!$N$69</definedName>
    <definedName name="SCDPT6SN1_1700001_13" localSheetId="9">GMIC_22A_SCDPT6SN1!$O$69</definedName>
    <definedName name="SCDPT6SN1_1700001_14" localSheetId="9">GMIC_22A_SCDPT6SN1!$P$69</definedName>
    <definedName name="SCDPT6SN1_1700001_15" localSheetId="9">GMIC_22A_SCDPT6SN1!$Q$69</definedName>
    <definedName name="SCDPT6SN1_1700001_16" localSheetId="9">GMIC_22A_SCDPT6SN1!$R$69</definedName>
    <definedName name="SCDPT6SN1_1700001_17" localSheetId="9">GMIC_22A_SCDPT6SN1!$S$69</definedName>
    <definedName name="SCDPT6SN1_1700001_18" localSheetId="9">GMIC_22A_SCDPT6SN1!$T$69</definedName>
    <definedName name="SCDPT6SN1_1700001_19" localSheetId="9">GMIC_22A_SCDPT6SN1!$U$69</definedName>
    <definedName name="SCDPT6SN1_1700001_2" localSheetId="9">GMIC_22A_SCDPT6SN1!$D$69</definedName>
    <definedName name="SCDPT6SN1_1700001_3" localSheetId="9">GMIC_22A_SCDPT6SN1!$E$69</definedName>
    <definedName name="SCDPT6SN1_1700001_4" localSheetId="9">GMIC_22A_SCDPT6SN1!$F$69</definedName>
    <definedName name="SCDPT6SN1_1700001_5" localSheetId="9">GMIC_22A_SCDPT6SN1!$G$69</definedName>
    <definedName name="SCDPT6SN1_1700001_6" localSheetId="9">GMIC_22A_SCDPT6SN1!$H$69</definedName>
    <definedName name="SCDPT6SN1_1700001_7" localSheetId="9">GMIC_22A_SCDPT6SN1!$I$69</definedName>
    <definedName name="SCDPT6SN1_1700001_8" localSheetId="9">GMIC_22A_SCDPT6SN1!$J$69</definedName>
    <definedName name="SCDPT6SN1_1700001_9" localSheetId="9">GMIC_22A_SCDPT6SN1!$K$69</definedName>
    <definedName name="SCDPT6SN1_1799999_16" localSheetId="9">GMIC_22A_SCDPT6SN1!$R$71</definedName>
    <definedName name="SCDPT6SN1_1799999_17" localSheetId="9">GMIC_22A_SCDPT6SN1!$S$71</definedName>
    <definedName name="SCDPT6SN1_1799999_18" localSheetId="9">GMIC_22A_SCDPT6SN1!$T$71</definedName>
    <definedName name="SCDPT6SN1_1799999_7" localSheetId="9">GMIC_22A_SCDPT6SN1!$I$71</definedName>
    <definedName name="SCDPT6SN1_1799999_8" localSheetId="9">GMIC_22A_SCDPT6SN1!$J$71</definedName>
    <definedName name="SCDPT6SN1_1799999_9" localSheetId="9">GMIC_22A_SCDPT6SN1!$K$71</definedName>
    <definedName name="SCDPT6SN1_17BEGIN_1" localSheetId="9">GMIC_22A_SCDPT6SN1!$C$68</definedName>
    <definedName name="SCDPT6SN1_17BEGIN_10" localSheetId="9">GMIC_22A_SCDPT6SN1!$L$68</definedName>
    <definedName name="SCDPT6SN1_17BEGIN_11" localSheetId="9">GMIC_22A_SCDPT6SN1!$M$68</definedName>
    <definedName name="SCDPT6SN1_17BEGIN_12" localSheetId="9">GMIC_22A_SCDPT6SN1!$N$68</definedName>
    <definedName name="SCDPT6SN1_17BEGIN_13" localSheetId="9">GMIC_22A_SCDPT6SN1!$O$68</definedName>
    <definedName name="SCDPT6SN1_17BEGIN_14" localSheetId="9">GMIC_22A_SCDPT6SN1!$P$68</definedName>
    <definedName name="SCDPT6SN1_17BEGIN_15" localSheetId="9">GMIC_22A_SCDPT6SN1!$Q$68</definedName>
    <definedName name="SCDPT6SN1_17BEGIN_16" localSheetId="9">GMIC_22A_SCDPT6SN1!$R$68</definedName>
    <definedName name="SCDPT6SN1_17BEGIN_17" localSheetId="9">GMIC_22A_SCDPT6SN1!$S$68</definedName>
    <definedName name="SCDPT6SN1_17BEGIN_18" localSheetId="9">GMIC_22A_SCDPT6SN1!$T$68</definedName>
    <definedName name="SCDPT6SN1_17BEGIN_19" localSheetId="9">GMIC_22A_SCDPT6SN1!$U$68</definedName>
    <definedName name="SCDPT6SN1_17BEGIN_2" localSheetId="9">GMIC_22A_SCDPT6SN1!$D$68</definedName>
    <definedName name="SCDPT6SN1_17BEGIN_3" localSheetId="9">GMIC_22A_SCDPT6SN1!$E$68</definedName>
    <definedName name="SCDPT6SN1_17BEGIN_4" localSheetId="9">GMIC_22A_SCDPT6SN1!$F$68</definedName>
    <definedName name="SCDPT6SN1_17BEGIN_5" localSheetId="9">GMIC_22A_SCDPT6SN1!$G$68</definedName>
    <definedName name="SCDPT6SN1_17BEGIN_6" localSheetId="9">GMIC_22A_SCDPT6SN1!$H$68</definedName>
    <definedName name="SCDPT6SN1_17BEGIN_7" localSheetId="9">GMIC_22A_SCDPT6SN1!$I$68</definedName>
    <definedName name="SCDPT6SN1_17BEGIN_8" localSheetId="9">GMIC_22A_SCDPT6SN1!$J$68</definedName>
    <definedName name="SCDPT6SN1_17BEGIN_9" localSheetId="9">GMIC_22A_SCDPT6SN1!$K$68</definedName>
    <definedName name="SCDPT6SN1_17ENDIN_10" localSheetId="9">GMIC_22A_SCDPT6SN1!$L$70</definedName>
    <definedName name="SCDPT6SN1_17ENDIN_11" localSheetId="9">GMIC_22A_SCDPT6SN1!$M$70</definedName>
    <definedName name="SCDPT6SN1_17ENDIN_12" localSheetId="9">GMIC_22A_SCDPT6SN1!$N$70</definedName>
    <definedName name="SCDPT6SN1_17ENDIN_13" localSheetId="9">GMIC_22A_SCDPT6SN1!$O$70</definedName>
    <definedName name="SCDPT6SN1_17ENDIN_14" localSheetId="9">GMIC_22A_SCDPT6SN1!$P$70</definedName>
    <definedName name="SCDPT6SN1_17ENDIN_15" localSheetId="9">GMIC_22A_SCDPT6SN1!$Q$70</definedName>
    <definedName name="SCDPT6SN1_17ENDIN_16" localSheetId="9">GMIC_22A_SCDPT6SN1!$R$70</definedName>
    <definedName name="SCDPT6SN1_17ENDIN_17" localSheetId="9">GMIC_22A_SCDPT6SN1!$S$70</definedName>
    <definedName name="SCDPT6SN1_17ENDIN_18" localSheetId="9">GMIC_22A_SCDPT6SN1!$T$70</definedName>
    <definedName name="SCDPT6SN1_17ENDIN_19" localSheetId="9">GMIC_22A_SCDPT6SN1!$U$70</definedName>
    <definedName name="SCDPT6SN1_17ENDIN_2" localSheetId="9">GMIC_22A_SCDPT6SN1!$D$70</definedName>
    <definedName name="SCDPT6SN1_17ENDIN_3" localSheetId="9">GMIC_22A_SCDPT6SN1!$E$70</definedName>
    <definedName name="SCDPT6SN1_17ENDIN_4" localSheetId="9">GMIC_22A_SCDPT6SN1!$F$70</definedName>
    <definedName name="SCDPT6SN1_17ENDIN_5" localSheetId="9">GMIC_22A_SCDPT6SN1!$G$70</definedName>
    <definedName name="SCDPT6SN1_17ENDIN_6" localSheetId="9">GMIC_22A_SCDPT6SN1!$H$70</definedName>
    <definedName name="SCDPT6SN1_17ENDIN_7" localSheetId="9">GMIC_22A_SCDPT6SN1!$I$70</definedName>
    <definedName name="SCDPT6SN1_17ENDIN_8" localSheetId="9">GMIC_22A_SCDPT6SN1!$J$70</definedName>
    <definedName name="SCDPT6SN1_17ENDIN_9" localSheetId="9">GMIC_22A_SCDPT6SN1!$K$70</definedName>
    <definedName name="SCDPT6SN1_1899999_16" localSheetId="9">GMIC_22A_SCDPT6SN1!$R$72</definedName>
    <definedName name="SCDPT6SN1_1899999_17" localSheetId="9">GMIC_22A_SCDPT6SN1!$S$72</definedName>
    <definedName name="SCDPT6SN1_1899999_18" localSheetId="9">GMIC_22A_SCDPT6SN1!$T$72</definedName>
    <definedName name="SCDPT6SN1_1899999_7" localSheetId="9">GMIC_22A_SCDPT6SN1!$I$72</definedName>
    <definedName name="SCDPT6SN1_1899999_8" localSheetId="9">GMIC_22A_SCDPT6SN1!$J$72</definedName>
    <definedName name="SCDPT6SN1_1899999_9" localSheetId="9">GMIC_22A_SCDPT6SN1!$K$72</definedName>
    <definedName name="SCDPT6SN1_1999999_16" localSheetId="9">GMIC_22A_SCDPT6SN1!$R$73</definedName>
    <definedName name="SCDPT6SN1_1999999_17" localSheetId="9">GMIC_22A_SCDPT6SN1!$S$73</definedName>
    <definedName name="SCDPT6SN1_1999999_18" localSheetId="9">GMIC_22A_SCDPT6SN1!$T$73</definedName>
    <definedName name="SCDPT6SN1_1999999_7" localSheetId="9">GMIC_22A_SCDPT6SN1!$I$73</definedName>
    <definedName name="SCDPT6SN1_1999999_8" localSheetId="9">GMIC_22A_SCDPT6SN1!$J$73</definedName>
    <definedName name="SCDPT6SN1_1999999_9" localSheetId="9">GMIC_22A_SCDPT6SN1!$K$73</definedName>
    <definedName name="SCDPT6SN1F_0000001_1" localSheetId="10">GMIC_22A_SCDPT6SN1F!$D$7</definedName>
    <definedName name="SCDPT6SN2_0100000_Range" localSheetId="11">GMIC_22A_SCDPT6SN2!$B$7:$I$9</definedName>
    <definedName name="SCDPT6SN2_0199999_4" localSheetId="11">GMIC_22A_SCDPT6SN2!$F$10</definedName>
    <definedName name="SCDPT6SN2_01BEGIN_1" localSheetId="11">GMIC_22A_SCDPT6SN2!$C$7</definedName>
    <definedName name="SCDPT6SN2_01BEGIN_2" localSheetId="11">GMIC_22A_SCDPT6SN2!$D$7</definedName>
    <definedName name="SCDPT6SN2_01BEGIN_3" localSheetId="11">GMIC_22A_SCDPT6SN2!$E$7</definedName>
    <definedName name="SCDPT6SN2_01BEGIN_4" localSheetId="11">GMIC_22A_SCDPT6SN2!$F$7</definedName>
    <definedName name="SCDPT6SN2_01BEGIN_5" localSheetId="11">GMIC_22A_SCDPT6SN2!$G$7</definedName>
    <definedName name="SCDPT6SN2_01BEGIN_6" localSheetId="11">GMIC_22A_SCDPT6SN2!$H$7</definedName>
    <definedName name="SCDPT6SN2_01BEGIN_7" localSheetId="11">GMIC_22A_SCDPT6SN2!$I$7</definedName>
    <definedName name="SCDPT6SN2_01ENDIN_2" localSheetId="11">GMIC_22A_SCDPT6SN2!$D$9</definedName>
    <definedName name="SCDPT6SN2_01ENDIN_3" localSheetId="11">GMIC_22A_SCDPT6SN2!$E$9</definedName>
    <definedName name="SCDPT6SN2_01ENDIN_4" localSheetId="11">GMIC_22A_SCDPT6SN2!$F$9</definedName>
    <definedName name="SCDPT6SN2_01ENDIN_5" localSheetId="11">GMIC_22A_SCDPT6SN2!$G$9</definedName>
    <definedName name="SCDPT6SN2_01ENDIN_6" localSheetId="11">GMIC_22A_SCDPT6SN2!$H$9</definedName>
    <definedName name="SCDPT6SN2_01ENDIN_7" localSheetId="11">GMIC_22A_SCDPT6SN2!$I$9</definedName>
    <definedName name="SCDPT6SN2_0200000_Range" localSheetId="11">GMIC_22A_SCDPT6SN2!$B$11:$I$13</definedName>
    <definedName name="SCDPT6SN2_0299999_4" localSheetId="11">GMIC_22A_SCDPT6SN2!$F$14</definedName>
    <definedName name="SCDPT6SN2_02BEGIN_1" localSheetId="11">GMIC_22A_SCDPT6SN2!$C$11</definedName>
    <definedName name="SCDPT6SN2_02BEGIN_2" localSheetId="11">GMIC_22A_SCDPT6SN2!$D$11</definedName>
    <definedName name="SCDPT6SN2_02BEGIN_3" localSheetId="11">GMIC_22A_SCDPT6SN2!$E$11</definedName>
    <definedName name="SCDPT6SN2_02BEGIN_4" localSheetId="11">GMIC_22A_SCDPT6SN2!$F$11</definedName>
    <definedName name="SCDPT6SN2_02BEGIN_5" localSheetId="11">GMIC_22A_SCDPT6SN2!$G$11</definedName>
    <definedName name="SCDPT6SN2_02BEGIN_6" localSheetId="11">GMIC_22A_SCDPT6SN2!$H$11</definedName>
    <definedName name="SCDPT6SN2_02BEGIN_7" localSheetId="11">GMIC_22A_SCDPT6SN2!$I$11</definedName>
    <definedName name="SCDPT6SN2_02ENDIN_2" localSheetId="11">GMIC_22A_SCDPT6SN2!$D$13</definedName>
    <definedName name="SCDPT6SN2_02ENDIN_3" localSheetId="11">GMIC_22A_SCDPT6SN2!$E$13</definedName>
    <definedName name="SCDPT6SN2_02ENDIN_4" localSheetId="11">GMIC_22A_SCDPT6SN2!$F$13</definedName>
    <definedName name="SCDPT6SN2_02ENDIN_5" localSheetId="11">GMIC_22A_SCDPT6SN2!$G$13</definedName>
    <definedName name="SCDPT6SN2_02ENDIN_6" localSheetId="11">GMIC_22A_SCDPT6SN2!$H$13</definedName>
    <definedName name="SCDPT6SN2_02ENDIN_7" localSheetId="11">GMIC_22A_SCDPT6SN2!$I$13</definedName>
    <definedName name="SCDPT6SN2_0399999_4" localSheetId="11">GMIC_22A_SCDPT6SN2!$F$15</definedName>
    <definedName name="Wings_Company_ID" localSheetId="0">GMIC_22A_SCDPT1!$C$2</definedName>
    <definedName name="Wings_Company_ID" localSheetId="1">GMIC_22A_SCDPT1F!$C$2</definedName>
    <definedName name="Wings_Company_ID" localSheetId="2">GMIC_22A_SCDPT2SN1!$C$2</definedName>
    <definedName name="Wings_Company_ID" localSheetId="3">GMIC_22A_SCDPT2SN1F!$C$2</definedName>
    <definedName name="Wings_Company_ID" localSheetId="4">GMIC_22A_SCDPT2SN2!$C$2</definedName>
    <definedName name="Wings_Company_ID" localSheetId="5">GMIC_22A_SCDPT2SN2F!$C$2</definedName>
    <definedName name="Wings_Company_ID" localSheetId="6">GMIC_22A_SCDPT3!$C$2</definedName>
    <definedName name="Wings_Company_ID" localSheetId="7">GMIC_22A_SCDPT4!$C$2</definedName>
    <definedName name="Wings_Company_ID" localSheetId="8">GMIC_22A_SCDPT5!$C$2</definedName>
    <definedName name="Wings_Company_ID" localSheetId="9">GMIC_22A_SCDPT6SN1!$C$2</definedName>
    <definedName name="Wings_Company_ID" localSheetId="10">GMIC_22A_SCDPT6SN1F!$C$2</definedName>
    <definedName name="Wings_Company_ID" localSheetId="11">GMIC_22A_SCDPT6SN2!$C$2</definedName>
    <definedName name="WINGS_Identifier_ID" localSheetId="0">GMIC_22A_SCDPT1!$E$2</definedName>
    <definedName name="WINGS_Identifier_ID" localSheetId="1">GMIC_22A_SCDPT1F!$E$2</definedName>
    <definedName name="WINGS_Identifier_ID" localSheetId="2">GMIC_22A_SCDPT2SN1!$E$2</definedName>
    <definedName name="WINGS_Identifier_ID" localSheetId="3">GMIC_22A_SCDPT2SN1F!$E$2</definedName>
    <definedName name="WINGS_Identifier_ID" localSheetId="4">GMIC_22A_SCDPT2SN2!$E$2</definedName>
    <definedName name="WINGS_Identifier_ID" localSheetId="5">GMIC_22A_SCDPT2SN2F!$E$2</definedName>
    <definedName name="WINGS_Identifier_ID" localSheetId="6">GMIC_22A_SCDPT3!$E$2</definedName>
    <definedName name="WINGS_Identifier_ID" localSheetId="7">GMIC_22A_SCDPT4!$E$2</definedName>
    <definedName name="WINGS_Identifier_ID" localSheetId="8">GMIC_22A_SCDPT5!$E$2</definedName>
    <definedName name="WINGS_Identifier_ID" localSheetId="9">GMIC_22A_SCDPT6SN1!$E$2</definedName>
    <definedName name="WINGS_Identifier_ID" localSheetId="10">GMIC_22A_SCDPT6SN1F!$E$2</definedName>
    <definedName name="WINGS_Identifier_ID" localSheetId="11">GMIC_22A_SCDPT6SN2!$E$2</definedName>
    <definedName name="Wings_IdentTable_ID" localSheetId="0">GMIC_22A_SCDPT1!$F$2</definedName>
    <definedName name="Wings_IdentTable_ID" localSheetId="1">GMIC_22A_SCDPT1F!$F$2</definedName>
    <definedName name="Wings_IdentTable_ID" localSheetId="2">GMIC_22A_SCDPT2SN1!$F$2</definedName>
    <definedName name="Wings_IdentTable_ID" localSheetId="3">GMIC_22A_SCDPT2SN1F!$F$2</definedName>
    <definedName name="Wings_IdentTable_ID" localSheetId="4">GMIC_22A_SCDPT2SN2!$F$2</definedName>
    <definedName name="Wings_IdentTable_ID" localSheetId="5">GMIC_22A_SCDPT2SN2F!$F$2</definedName>
    <definedName name="Wings_IdentTable_ID" localSheetId="6">GMIC_22A_SCDPT3!$F$2</definedName>
    <definedName name="Wings_IdentTable_ID" localSheetId="7">GMIC_22A_SCDPT4!$F$2</definedName>
    <definedName name="Wings_IdentTable_ID" localSheetId="8">GMIC_22A_SCDPT5!$F$2</definedName>
    <definedName name="Wings_IdentTable_ID" localSheetId="9">GMIC_22A_SCDPT6SN1!$F$2</definedName>
    <definedName name="Wings_IdentTable_ID" localSheetId="10">GMIC_22A_SCDPT6SN1F!$F$2</definedName>
    <definedName name="Wings_IdentTable_ID" localSheetId="11">GMIC_22A_SCDPT6SN2!$F$2</definedName>
    <definedName name="Wings_Statement_ID" localSheetId="0">GMIC_22A_SCDPT1!$D$2</definedName>
    <definedName name="Wings_Statement_ID" localSheetId="1">GMIC_22A_SCDPT1F!$D$2</definedName>
    <definedName name="Wings_Statement_ID" localSheetId="2">GMIC_22A_SCDPT2SN1!$D$2</definedName>
    <definedName name="Wings_Statement_ID" localSheetId="3">GMIC_22A_SCDPT2SN1F!$D$2</definedName>
    <definedName name="Wings_Statement_ID" localSheetId="4">GMIC_22A_SCDPT2SN2!$D$2</definedName>
    <definedName name="Wings_Statement_ID" localSheetId="5">GMIC_22A_SCDPT2SN2F!$D$2</definedName>
    <definedName name="Wings_Statement_ID" localSheetId="6">GMIC_22A_SCDPT3!$D$2</definedName>
    <definedName name="Wings_Statement_ID" localSheetId="7">GMIC_22A_SCDPT4!$D$2</definedName>
    <definedName name="Wings_Statement_ID" localSheetId="8">GMIC_22A_SCDPT5!$D$2</definedName>
    <definedName name="Wings_Statement_ID" localSheetId="9">GMIC_22A_SCDPT6SN1!$D$2</definedName>
    <definedName name="Wings_Statement_ID" localSheetId="10">GMIC_22A_SCDPT6SN1F!$D$2</definedName>
    <definedName name="Wings_Statement_ID" localSheetId="11">GMIC_22A_SCDPT6SN2!$D$2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2" l="1"/>
  <c r="F10" i="12"/>
  <c r="F15" i="12" s="1"/>
  <c r="D2" i="12"/>
  <c r="C2" i="12"/>
  <c r="D2" i="11"/>
  <c r="C2" i="11"/>
  <c r="T71" i="10"/>
  <c r="S71" i="10"/>
  <c r="R71" i="10"/>
  <c r="K71" i="10"/>
  <c r="J71" i="10"/>
  <c r="I71" i="10"/>
  <c r="T67" i="10"/>
  <c r="S67" i="10"/>
  <c r="R67" i="10"/>
  <c r="K67" i="10"/>
  <c r="J67" i="10"/>
  <c r="I67" i="10"/>
  <c r="T63" i="10"/>
  <c r="S63" i="10"/>
  <c r="R63" i="10"/>
  <c r="K63" i="10"/>
  <c r="J63" i="10"/>
  <c r="I63" i="10"/>
  <c r="T59" i="10"/>
  <c r="S59" i="10"/>
  <c r="R59" i="10"/>
  <c r="K59" i="10"/>
  <c r="J59" i="10"/>
  <c r="I59" i="10"/>
  <c r="T55" i="10"/>
  <c r="S55" i="10"/>
  <c r="R55" i="10"/>
  <c r="K55" i="10"/>
  <c r="J55" i="10"/>
  <c r="I55" i="10"/>
  <c r="T51" i="10"/>
  <c r="S51" i="10"/>
  <c r="R51" i="10"/>
  <c r="K51" i="10"/>
  <c r="J51" i="10"/>
  <c r="I51" i="10"/>
  <c r="T47" i="10"/>
  <c r="S47" i="10"/>
  <c r="R47" i="10"/>
  <c r="K47" i="10"/>
  <c r="J47" i="10"/>
  <c r="I47" i="10"/>
  <c r="T43" i="10"/>
  <c r="T72" i="10" s="1"/>
  <c r="S43" i="10"/>
  <c r="S72" i="10" s="1"/>
  <c r="R43" i="10"/>
  <c r="R72" i="10" s="1"/>
  <c r="K43" i="10"/>
  <c r="K72" i="10" s="1"/>
  <c r="J43" i="10"/>
  <c r="J72" i="10" s="1"/>
  <c r="I43" i="10"/>
  <c r="I72" i="10" s="1"/>
  <c r="T38" i="10"/>
  <c r="S38" i="10"/>
  <c r="R38" i="10"/>
  <c r="K38" i="10"/>
  <c r="J38" i="10"/>
  <c r="I38" i="10"/>
  <c r="T34" i="10"/>
  <c r="S34" i="10"/>
  <c r="R34" i="10"/>
  <c r="K34" i="10"/>
  <c r="J34" i="10"/>
  <c r="I34" i="10"/>
  <c r="T30" i="10"/>
  <c r="S30" i="10"/>
  <c r="R30" i="10"/>
  <c r="K30" i="10"/>
  <c r="J30" i="10"/>
  <c r="I30" i="10"/>
  <c r="T26" i="10"/>
  <c r="S26" i="10"/>
  <c r="R26" i="10"/>
  <c r="K26" i="10"/>
  <c r="J26" i="10"/>
  <c r="I26" i="10"/>
  <c r="T22" i="10"/>
  <c r="S22" i="10"/>
  <c r="R22" i="10"/>
  <c r="K22" i="10"/>
  <c r="J22" i="10"/>
  <c r="I22" i="10"/>
  <c r="T18" i="10"/>
  <c r="S18" i="10"/>
  <c r="R18" i="10"/>
  <c r="K18" i="10"/>
  <c r="J18" i="10"/>
  <c r="I18" i="10"/>
  <c r="T14" i="10"/>
  <c r="S14" i="10"/>
  <c r="R14" i="10"/>
  <c r="K14" i="10"/>
  <c r="J14" i="10"/>
  <c r="I14" i="10"/>
  <c r="T10" i="10"/>
  <c r="T39" i="10" s="1"/>
  <c r="T73" i="10" s="1"/>
  <c r="S10" i="10"/>
  <c r="S39" i="10" s="1"/>
  <c r="S73" i="10" s="1"/>
  <c r="R10" i="10"/>
  <c r="R39" i="10" s="1"/>
  <c r="R73" i="10" s="1"/>
  <c r="K10" i="10"/>
  <c r="K39" i="10" s="1"/>
  <c r="K73" i="10" s="1"/>
  <c r="J10" i="10"/>
  <c r="J39" i="10" s="1"/>
  <c r="J73" i="10" s="1"/>
  <c r="I10" i="10"/>
  <c r="I39" i="10" s="1"/>
  <c r="I73" i="10" s="1"/>
  <c r="D2" i="10"/>
  <c r="C2" i="10"/>
  <c r="W131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W127" i="9"/>
  <c r="V127" i="9"/>
  <c r="U127" i="9"/>
  <c r="T127" i="9"/>
  <c r="S127" i="9"/>
  <c r="R127" i="9"/>
  <c r="Q127" i="9"/>
  <c r="P127" i="9"/>
  <c r="O127" i="9"/>
  <c r="N127" i="9"/>
  <c r="M127" i="9"/>
  <c r="L127" i="9"/>
  <c r="K127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W119" i="9"/>
  <c r="V119" i="9"/>
  <c r="U119" i="9"/>
  <c r="T119" i="9"/>
  <c r="S119" i="9"/>
  <c r="R119" i="9"/>
  <c r="Q119" i="9"/>
  <c r="P119" i="9"/>
  <c r="O119" i="9"/>
  <c r="N119" i="9"/>
  <c r="M119" i="9"/>
  <c r="L119" i="9"/>
  <c r="K119" i="9"/>
  <c r="W115" i="9"/>
  <c r="V115" i="9"/>
  <c r="U115" i="9"/>
  <c r="T115" i="9"/>
  <c r="S115" i="9"/>
  <c r="R115" i="9"/>
  <c r="Q115" i="9"/>
  <c r="P115" i="9"/>
  <c r="O115" i="9"/>
  <c r="N115" i="9"/>
  <c r="M115" i="9"/>
  <c r="L115" i="9"/>
  <c r="K115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W103" i="9"/>
  <c r="W132" i="9" s="1"/>
  <c r="V103" i="9"/>
  <c r="U103" i="9"/>
  <c r="T103" i="9"/>
  <c r="S103" i="9"/>
  <c r="R103" i="9"/>
  <c r="Q103" i="9"/>
  <c r="P103" i="9"/>
  <c r="O103" i="9"/>
  <c r="O132" i="9" s="1"/>
  <c r="N103" i="9"/>
  <c r="M103" i="9"/>
  <c r="L103" i="9"/>
  <c r="K103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W95" i="9"/>
  <c r="V95" i="9"/>
  <c r="U95" i="9"/>
  <c r="T95" i="9"/>
  <c r="S95" i="9"/>
  <c r="R95" i="9"/>
  <c r="Q95" i="9"/>
  <c r="P95" i="9"/>
  <c r="O95" i="9"/>
  <c r="N95" i="9"/>
  <c r="M95" i="9"/>
  <c r="L95" i="9"/>
  <c r="K95" i="9"/>
  <c r="W91" i="9"/>
  <c r="V91" i="9"/>
  <c r="V132" i="9" s="1"/>
  <c r="U91" i="9"/>
  <c r="U132" i="9" s="1"/>
  <c r="T91" i="9"/>
  <c r="T132" i="9" s="1"/>
  <c r="S91" i="9"/>
  <c r="S132" i="9" s="1"/>
  <c r="R91" i="9"/>
  <c r="R132" i="9" s="1"/>
  <c r="Q91" i="9"/>
  <c r="Q132" i="9" s="1"/>
  <c r="P91" i="9"/>
  <c r="P132" i="9" s="1"/>
  <c r="O91" i="9"/>
  <c r="N91" i="9"/>
  <c r="N132" i="9" s="1"/>
  <c r="M91" i="9"/>
  <c r="M132" i="9" s="1"/>
  <c r="L91" i="9"/>
  <c r="L132" i="9" s="1"/>
  <c r="K91" i="9"/>
  <c r="K132" i="9" s="1"/>
  <c r="S87" i="9"/>
  <c r="S133" i="9" s="1"/>
  <c r="K87" i="9"/>
  <c r="K133" i="9" s="1"/>
  <c r="W86" i="9"/>
  <c r="V86" i="9"/>
  <c r="U86" i="9"/>
  <c r="T86" i="9"/>
  <c r="S86" i="9"/>
  <c r="R86" i="9"/>
  <c r="Q86" i="9"/>
  <c r="P86" i="9"/>
  <c r="O86" i="9"/>
  <c r="N86" i="9"/>
  <c r="M86" i="9"/>
  <c r="L86" i="9"/>
  <c r="K86" i="9"/>
  <c r="W82" i="9"/>
  <c r="V82" i="9"/>
  <c r="U82" i="9"/>
  <c r="T82" i="9"/>
  <c r="T87" i="9" s="1"/>
  <c r="S82" i="9"/>
  <c r="R82" i="9"/>
  <c r="Q82" i="9"/>
  <c r="P82" i="9"/>
  <c r="O82" i="9"/>
  <c r="N82" i="9"/>
  <c r="M82" i="9"/>
  <c r="L82" i="9"/>
  <c r="L87" i="9" s="1"/>
  <c r="K82" i="9"/>
  <c r="W78" i="9"/>
  <c r="V78" i="9"/>
  <c r="U78" i="9"/>
  <c r="T78" i="9"/>
  <c r="S78" i="9"/>
  <c r="R78" i="9"/>
  <c r="R87" i="9" s="1"/>
  <c r="R133" i="9" s="1"/>
  <c r="Q78" i="9"/>
  <c r="P78" i="9"/>
  <c r="O78" i="9"/>
  <c r="N78" i="9"/>
  <c r="M78" i="9"/>
  <c r="L78" i="9"/>
  <c r="K78" i="9"/>
  <c r="W74" i="9"/>
  <c r="W87" i="9" s="1"/>
  <c r="W133" i="9" s="1"/>
  <c r="V74" i="9"/>
  <c r="V87" i="9" s="1"/>
  <c r="V133" i="9" s="1"/>
  <c r="U74" i="9"/>
  <c r="U87" i="9" s="1"/>
  <c r="T74" i="9"/>
  <c r="S74" i="9"/>
  <c r="R74" i="9"/>
  <c r="Q74" i="9"/>
  <c r="Q87" i="9" s="1"/>
  <c r="P74" i="9"/>
  <c r="P87" i="9" s="1"/>
  <c r="O74" i="9"/>
  <c r="O87" i="9" s="1"/>
  <c r="O133" i="9" s="1"/>
  <c r="N74" i="9"/>
  <c r="N87" i="9" s="1"/>
  <c r="M74" i="9"/>
  <c r="M87" i="9" s="1"/>
  <c r="L74" i="9"/>
  <c r="K74" i="9"/>
  <c r="T70" i="9"/>
  <c r="L70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W49" i="9"/>
  <c r="V49" i="9"/>
  <c r="T49" i="9"/>
  <c r="S49" i="9"/>
  <c r="R49" i="9"/>
  <c r="P49" i="9"/>
  <c r="O49" i="9"/>
  <c r="N49" i="9"/>
  <c r="M49" i="9"/>
  <c r="L49" i="9"/>
  <c r="K49" i="9"/>
  <c r="J49" i="9"/>
  <c r="U28" i="9"/>
  <c r="U49" i="9" s="1"/>
  <c r="Q28" i="9"/>
  <c r="Q49" i="9" s="1"/>
  <c r="W26" i="9"/>
  <c r="V26" i="9"/>
  <c r="T26" i="9"/>
  <c r="S26" i="9"/>
  <c r="R26" i="9"/>
  <c r="P26" i="9"/>
  <c r="O26" i="9"/>
  <c r="N26" i="9"/>
  <c r="M26" i="9"/>
  <c r="L26" i="9"/>
  <c r="K26" i="9"/>
  <c r="J26" i="9"/>
  <c r="U24" i="9"/>
  <c r="U26" i="9" s="1"/>
  <c r="Q24" i="9"/>
  <c r="Q26" i="9" s="1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W14" i="9"/>
  <c r="V14" i="9"/>
  <c r="U14" i="9"/>
  <c r="T14" i="9"/>
  <c r="S14" i="9"/>
  <c r="S70" i="9" s="1"/>
  <c r="S134" i="9" s="1"/>
  <c r="R14" i="9"/>
  <c r="Q14" i="9"/>
  <c r="P14" i="9"/>
  <c r="O14" i="9"/>
  <c r="N14" i="9"/>
  <c r="M14" i="9"/>
  <c r="L14" i="9"/>
  <c r="K14" i="9"/>
  <c r="K70" i="9" s="1"/>
  <c r="K134" i="9" s="1"/>
  <c r="J14" i="9"/>
  <c r="W10" i="9"/>
  <c r="W70" i="9" s="1"/>
  <c r="W134" i="9" s="1"/>
  <c r="V10" i="9"/>
  <c r="V70" i="9" s="1"/>
  <c r="V134" i="9" s="1"/>
  <c r="U10" i="9"/>
  <c r="T10" i="9"/>
  <c r="S10" i="9"/>
  <c r="R10" i="9"/>
  <c r="R70" i="9" s="1"/>
  <c r="R134" i="9" s="1"/>
  <c r="Q10" i="9"/>
  <c r="Q70" i="9" s="1"/>
  <c r="Q134" i="9" s="1"/>
  <c r="P10" i="9"/>
  <c r="P70" i="9" s="1"/>
  <c r="P134" i="9" s="1"/>
  <c r="O10" i="9"/>
  <c r="O70" i="9" s="1"/>
  <c r="O134" i="9" s="1"/>
  <c r="N10" i="9"/>
  <c r="N70" i="9" s="1"/>
  <c r="N134" i="9" s="1"/>
  <c r="M10" i="9"/>
  <c r="M70" i="9" s="1"/>
  <c r="M134" i="9" s="1"/>
  <c r="L10" i="9"/>
  <c r="K10" i="9"/>
  <c r="J10" i="9"/>
  <c r="J70" i="9" s="1"/>
  <c r="D2" i="9"/>
  <c r="C2" i="9"/>
  <c r="V411" i="8"/>
  <c r="U411" i="8"/>
  <c r="T411" i="8"/>
  <c r="S411" i="8"/>
  <c r="R411" i="8"/>
  <c r="Q411" i="8"/>
  <c r="P411" i="8"/>
  <c r="O411" i="8"/>
  <c r="N411" i="8"/>
  <c r="M411" i="8"/>
  <c r="L411" i="8"/>
  <c r="K411" i="8"/>
  <c r="I411" i="8"/>
  <c r="V407" i="8"/>
  <c r="U407" i="8"/>
  <c r="T407" i="8"/>
  <c r="S407" i="8"/>
  <c r="R407" i="8"/>
  <c r="Q407" i="8"/>
  <c r="P407" i="8"/>
  <c r="O407" i="8"/>
  <c r="N407" i="8"/>
  <c r="M407" i="8"/>
  <c r="L407" i="8"/>
  <c r="K407" i="8"/>
  <c r="I407" i="8"/>
  <c r="V403" i="8"/>
  <c r="U403" i="8"/>
  <c r="T403" i="8"/>
  <c r="S403" i="8"/>
  <c r="R403" i="8"/>
  <c r="Q403" i="8"/>
  <c r="P403" i="8"/>
  <c r="O403" i="8"/>
  <c r="N403" i="8"/>
  <c r="M403" i="8"/>
  <c r="L403" i="8"/>
  <c r="K403" i="8"/>
  <c r="I403" i="8"/>
  <c r="V399" i="8"/>
  <c r="U399" i="8"/>
  <c r="T399" i="8"/>
  <c r="S399" i="8"/>
  <c r="R399" i="8"/>
  <c r="Q399" i="8"/>
  <c r="P399" i="8"/>
  <c r="O399" i="8"/>
  <c r="N399" i="8"/>
  <c r="M399" i="8"/>
  <c r="L399" i="8"/>
  <c r="K399" i="8"/>
  <c r="I399" i="8"/>
  <c r="V395" i="8"/>
  <c r="U395" i="8"/>
  <c r="T395" i="8"/>
  <c r="S395" i="8"/>
  <c r="R395" i="8"/>
  <c r="Q395" i="8"/>
  <c r="P395" i="8"/>
  <c r="O395" i="8"/>
  <c r="N395" i="8"/>
  <c r="M395" i="8"/>
  <c r="L395" i="8"/>
  <c r="K395" i="8"/>
  <c r="I395" i="8"/>
  <c r="V391" i="8"/>
  <c r="U391" i="8"/>
  <c r="T391" i="8"/>
  <c r="S391" i="8"/>
  <c r="R391" i="8"/>
  <c r="Q391" i="8"/>
  <c r="P391" i="8"/>
  <c r="O391" i="8"/>
  <c r="N391" i="8"/>
  <c r="M391" i="8"/>
  <c r="L391" i="8"/>
  <c r="K391" i="8"/>
  <c r="I391" i="8"/>
  <c r="V387" i="8"/>
  <c r="U387" i="8"/>
  <c r="T387" i="8"/>
  <c r="S387" i="8"/>
  <c r="R387" i="8"/>
  <c r="Q387" i="8"/>
  <c r="P387" i="8"/>
  <c r="O387" i="8"/>
  <c r="N387" i="8"/>
  <c r="M387" i="8"/>
  <c r="L387" i="8"/>
  <c r="K387" i="8"/>
  <c r="I387" i="8"/>
  <c r="V383" i="8"/>
  <c r="U383" i="8"/>
  <c r="T383" i="8"/>
  <c r="S383" i="8"/>
  <c r="R383" i="8"/>
  <c r="Q383" i="8"/>
  <c r="P383" i="8"/>
  <c r="O383" i="8"/>
  <c r="O412" i="8" s="1"/>
  <c r="O414" i="8" s="1"/>
  <c r="N383" i="8"/>
  <c r="M383" i="8"/>
  <c r="L383" i="8"/>
  <c r="K383" i="8"/>
  <c r="I383" i="8"/>
  <c r="V379" i="8"/>
  <c r="U379" i="8"/>
  <c r="T379" i="8"/>
  <c r="S379" i="8"/>
  <c r="R379" i="8"/>
  <c r="Q379" i="8"/>
  <c r="P379" i="8"/>
  <c r="O379" i="8"/>
  <c r="N379" i="8"/>
  <c r="M379" i="8"/>
  <c r="L379" i="8"/>
  <c r="K379" i="8"/>
  <c r="I379" i="8"/>
  <c r="V375" i="8"/>
  <c r="U375" i="8"/>
  <c r="T375" i="8"/>
  <c r="S375" i="8"/>
  <c r="R375" i="8"/>
  <c r="Q375" i="8"/>
  <c r="P375" i="8"/>
  <c r="O375" i="8"/>
  <c r="N375" i="8"/>
  <c r="M375" i="8"/>
  <c r="L375" i="8"/>
  <c r="K375" i="8"/>
  <c r="I375" i="8"/>
  <c r="V371" i="8"/>
  <c r="V412" i="8" s="1"/>
  <c r="V414" i="8" s="1"/>
  <c r="U371" i="8"/>
  <c r="U412" i="8" s="1"/>
  <c r="U414" i="8" s="1"/>
  <c r="T371" i="8"/>
  <c r="T412" i="8" s="1"/>
  <c r="T414" i="8" s="1"/>
  <c r="S371" i="8"/>
  <c r="S412" i="8" s="1"/>
  <c r="S414" i="8" s="1"/>
  <c r="R371" i="8"/>
  <c r="R412" i="8" s="1"/>
  <c r="R414" i="8" s="1"/>
  <c r="Q371" i="8"/>
  <c r="Q412" i="8" s="1"/>
  <c r="Q414" i="8" s="1"/>
  <c r="P371" i="8"/>
  <c r="P412" i="8" s="1"/>
  <c r="P414" i="8" s="1"/>
  <c r="O371" i="8"/>
  <c r="N371" i="8"/>
  <c r="N412" i="8" s="1"/>
  <c r="N414" i="8" s="1"/>
  <c r="M371" i="8"/>
  <c r="M412" i="8" s="1"/>
  <c r="M414" i="8" s="1"/>
  <c r="L371" i="8"/>
  <c r="L412" i="8" s="1"/>
  <c r="L414" i="8" s="1"/>
  <c r="K371" i="8"/>
  <c r="K412" i="8" s="1"/>
  <c r="K414" i="8" s="1"/>
  <c r="I371" i="8"/>
  <c r="I412" i="8" s="1"/>
  <c r="I414" i="8" s="1"/>
  <c r="P365" i="8"/>
  <c r="P367" i="8" s="1"/>
  <c r="P415" i="8" s="1"/>
  <c r="O365" i="8"/>
  <c r="O367" i="8" s="1"/>
  <c r="O415" i="8" s="1"/>
  <c r="V364" i="8"/>
  <c r="U364" i="8"/>
  <c r="T364" i="8"/>
  <c r="S364" i="8"/>
  <c r="R364" i="8"/>
  <c r="Q364" i="8"/>
  <c r="P364" i="8"/>
  <c r="O364" i="8"/>
  <c r="N364" i="8"/>
  <c r="M364" i="8"/>
  <c r="L364" i="8"/>
  <c r="K364" i="8"/>
  <c r="I364" i="8"/>
  <c r="V360" i="8"/>
  <c r="U360" i="8"/>
  <c r="T360" i="8"/>
  <c r="S360" i="8"/>
  <c r="R360" i="8"/>
  <c r="Q360" i="8"/>
  <c r="P360" i="8"/>
  <c r="O360" i="8"/>
  <c r="N360" i="8"/>
  <c r="M360" i="8"/>
  <c r="L360" i="8"/>
  <c r="K360" i="8"/>
  <c r="I360" i="8"/>
  <c r="V356" i="8"/>
  <c r="U356" i="8"/>
  <c r="T356" i="8"/>
  <c r="S356" i="8"/>
  <c r="R356" i="8"/>
  <c r="Q356" i="8"/>
  <c r="P356" i="8"/>
  <c r="O356" i="8"/>
  <c r="N356" i="8"/>
  <c r="M356" i="8"/>
  <c r="L356" i="8"/>
  <c r="K356" i="8"/>
  <c r="I356" i="8"/>
  <c r="V352" i="8"/>
  <c r="V365" i="8" s="1"/>
  <c r="V367" i="8" s="1"/>
  <c r="U352" i="8"/>
  <c r="U365" i="8" s="1"/>
  <c r="U367" i="8" s="1"/>
  <c r="T352" i="8"/>
  <c r="T365" i="8" s="1"/>
  <c r="T367" i="8" s="1"/>
  <c r="T415" i="8" s="1"/>
  <c r="S352" i="8"/>
  <c r="S365" i="8" s="1"/>
  <c r="S367" i="8" s="1"/>
  <c r="S415" i="8" s="1"/>
  <c r="R352" i="8"/>
  <c r="R365" i="8" s="1"/>
  <c r="R367" i="8" s="1"/>
  <c r="R415" i="8" s="1"/>
  <c r="Q352" i="8"/>
  <c r="Q365" i="8" s="1"/>
  <c r="Q367" i="8" s="1"/>
  <c r="Q415" i="8" s="1"/>
  <c r="P352" i="8"/>
  <c r="O352" i="8"/>
  <c r="N352" i="8"/>
  <c r="N365" i="8" s="1"/>
  <c r="N367" i="8" s="1"/>
  <c r="M352" i="8"/>
  <c r="M365" i="8" s="1"/>
  <c r="M367" i="8" s="1"/>
  <c r="L352" i="8"/>
  <c r="L365" i="8" s="1"/>
  <c r="L367" i="8" s="1"/>
  <c r="K352" i="8"/>
  <c r="K365" i="8" s="1"/>
  <c r="K367" i="8" s="1"/>
  <c r="K415" i="8" s="1"/>
  <c r="I352" i="8"/>
  <c r="I365" i="8" s="1"/>
  <c r="I367" i="8" s="1"/>
  <c r="I415" i="8" s="1"/>
  <c r="O346" i="8"/>
  <c r="O348" i="8" s="1"/>
  <c r="O416" i="8" s="1"/>
  <c r="V345" i="8"/>
  <c r="U345" i="8"/>
  <c r="T345" i="8"/>
  <c r="S345" i="8"/>
  <c r="R345" i="8"/>
  <c r="Q345" i="8"/>
  <c r="P345" i="8"/>
  <c r="O345" i="8"/>
  <c r="N345" i="8"/>
  <c r="M345" i="8"/>
  <c r="L345" i="8"/>
  <c r="K345" i="8"/>
  <c r="J345" i="8"/>
  <c r="I345" i="8"/>
  <c r="V341" i="8"/>
  <c r="U341" i="8"/>
  <c r="T341" i="8"/>
  <c r="S341" i="8"/>
  <c r="R341" i="8"/>
  <c r="Q341" i="8"/>
  <c r="P341" i="8"/>
  <c r="O341" i="8"/>
  <c r="N341" i="8"/>
  <c r="M341" i="8"/>
  <c r="L341" i="8"/>
  <c r="K341" i="8"/>
  <c r="J341" i="8"/>
  <c r="I341" i="8"/>
  <c r="V337" i="8"/>
  <c r="U337" i="8"/>
  <c r="T337" i="8"/>
  <c r="S337" i="8"/>
  <c r="R337" i="8"/>
  <c r="Q337" i="8"/>
  <c r="P337" i="8"/>
  <c r="O337" i="8"/>
  <c r="N337" i="8"/>
  <c r="M337" i="8"/>
  <c r="L337" i="8"/>
  <c r="K337" i="8"/>
  <c r="J337" i="8"/>
  <c r="I337" i="8"/>
  <c r="V333" i="8"/>
  <c r="V346" i="8" s="1"/>
  <c r="V348" i="8" s="1"/>
  <c r="V416" i="8" s="1"/>
  <c r="U333" i="8"/>
  <c r="T333" i="8"/>
  <c r="S333" i="8"/>
  <c r="R333" i="8"/>
  <c r="Q333" i="8"/>
  <c r="P333" i="8"/>
  <c r="O333" i="8"/>
  <c r="N333" i="8"/>
  <c r="N346" i="8" s="1"/>
  <c r="N348" i="8" s="1"/>
  <c r="N416" i="8" s="1"/>
  <c r="M333" i="8"/>
  <c r="L333" i="8"/>
  <c r="K333" i="8"/>
  <c r="J333" i="8"/>
  <c r="I333" i="8"/>
  <c r="V329" i="8"/>
  <c r="U329" i="8"/>
  <c r="T329" i="8"/>
  <c r="S329" i="8"/>
  <c r="R329" i="8"/>
  <c r="Q329" i="8"/>
  <c r="P329" i="8"/>
  <c r="O329" i="8"/>
  <c r="N329" i="8"/>
  <c r="M329" i="8"/>
  <c r="L329" i="8"/>
  <c r="K329" i="8"/>
  <c r="J329" i="8"/>
  <c r="I329" i="8"/>
  <c r="V325" i="8"/>
  <c r="T325" i="8"/>
  <c r="S325" i="8"/>
  <c r="R325" i="8"/>
  <c r="Q325" i="8"/>
  <c r="O325" i="8"/>
  <c r="N325" i="8"/>
  <c r="M325" i="8"/>
  <c r="L325" i="8"/>
  <c r="K325" i="8"/>
  <c r="J325" i="8"/>
  <c r="I325" i="8"/>
  <c r="U39" i="8"/>
  <c r="U325" i="8" s="1"/>
  <c r="P39" i="8"/>
  <c r="P325" i="8" s="1"/>
  <c r="V37" i="8"/>
  <c r="U37" i="8"/>
  <c r="T37" i="8"/>
  <c r="S37" i="8"/>
  <c r="R37" i="8"/>
  <c r="Q37" i="8"/>
  <c r="O37" i="8"/>
  <c r="N37" i="8"/>
  <c r="M37" i="8"/>
  <c r="L37" i="8"/>
  <c r="K37" i="8"/>
  <c r="J37" i="8"/>
  <c r="I37" i="8"/>
  <c r="U28" i="8"/>
  <c r="P28" i="8"/>
  <c r="P37" i="8" s="1"/>
  <c r="V26" i="8"/>
  <c r="U26" i="8"/>
  <c r="T26" i="8"/>
  <c r="S26" i="8"/>
  <c r="R26" i="8"/>
  <c r="Q26" i="8"/>
  <c r="O26" i="8"/>
  <c r="N26" i="8"/>
  <c r="M26" i="8"/>
  <c r="L26" i="8"/>
  <c r="K26" i="8"/>
  <c r="J26" i="8"/>
  <c r="I26" i="8"/>
  <c r="U21" i="8"/>
  <c r="P21" i="8"/>
  <c r="P26" i="8" s="1"/>
  <c r="V19" i="8"/>
  <c r="U19" i="8"/>
  <c r="T19" i="8"/>
  <c r="S19" i="8"/>
  <c r="R19" i="8"/>
  <c r="Q19" i="8"/>
  <c r="O19" i="8"/>
  <c r="N19" i="8"/>
  <c r="M19" i="8"/>
  <c r="L19" i="8"/>
  <c r="K19" i="8"/>
  <c r="J19" i="8"/>
  <c r="I19" i="8"/>
  <c r="U17" i="8"/>
  <c r="P17" i="8"/>
  <c r="P19" i="8" s="1"/>
  <c r="V15" i="8"/>
  <c r="U15" i="8"/>
  <c r="T15" i="8"/>
  <c r="S15" i="8"/>
  <c r="R15" i="8"/>
  <c r="Q15" i="8"/>
  <c r="O15" i="8"/>
  <c r="N15" i="8"/>
  <c r="M15" i="8"/>
  <c r="L15" i="8"/>
  <c r="K15" i="8"/>
  <c r="J15" i="8"/>
  <c r="I15" i="8"/>
  <c r="U13" i="8"/>
  <c r="P13" i="8"/>
  <c r="P15" i="8" s="1"/>
  <c r="V11" i="8"/>
  <c r="U11" i="8"/>
  <c r="T11" i="8"/>
  <c r="T346" i="8" s="1"/>
  <c r="T348" i="8" s="1"/>
  <c r="T416" i="8" s="1"/>
  <c r="S11" i="8"/>
  <c r="S346" i="8" s="1"/>
  <c r="S348" i="8" s="1"/>
  <c r="R11" i="8"/>
  <c r="R346" i="8" s="1"/>
  <c r="R348" i="8" s="1"/>
  <c r="Q11" i="8"/>
  <c r="Q346" i="8" s="1"/>
  <c r="Q348" i="8" s="1"/>
  <c r="Q416" i="8" s="1"/>
  <c r="O11" i="8"/>
  <c r="N11" i="8"/>
  <c r="M11" i="8"/>
  <c r="M346" i="8" s="1"/>
  <c r="M348" i="8" s="1"/>
  <c r="L11" i="8"/>
  <c r="L346" i="8" s="1"/>
  <c r="L348" i="8" s="1"/>
  <c r="K11" i="8"/>
  <c r="K346" i="8" s="1"/>
  <c r="K348" i="8" s="1"/>
  <c r="J11" i="8"/>
  <c r="J346" i="8" s="1"/>
  <c r="J348" i="8" s="1"/>
  <c r="I11" i="8"/>
  <c r="I346" i="8" s="1"/>
  <c r="I348" i="8" s="1"/>
  <c r="U8" i="8"/>
  <c r="P8" i="8"/>
  <c r="P11" i="8" s="1"/>
  <c r="P346" i="8" s="1"/>
  <c r="P348" i="8" s="1"/>
  <c r="P416" i="8" s="1"/>
  <c r="D2" i="8"/>
  <c r="C2" i="8"/>
  <c r="K294" i="7"/>
  <c r="I294" i="7"/>
  <c r="K290" i="7"/>
  <c r="I290" i="7"/>
  <c r="K286" i="7"/>
  <c r="I286" i="7"/>
  <c r="K282" i="7"/>
  <c r="I282" i="7"/>
  <c r="K278" i="7"/>
  <c r="I278" i="7"/>
  <c r="K274" i="7"/>
  <c r="I274" i="7"/>
  <c r="K270" i="7"/>
  <c r="I270" i="7"/>
  <c r="K266" i="7"/>
  <c r="I266" i="7"/>
  <c r="K262" i="7"/>
  <c r="I262" i="7"/>
  <c r="K258" i="7"/>
  <c r="K295" i="7" s="1"/>
  <c r="K297" i="7" s="1"/>
  <c r="I258" i="7"/>
  <c r="K254" i="7"/>
  <c r="I254" i="7"/>
  <c r="I295" i="7" s="1"/>
  <c r="I297" i="7" s="1"/>
  <c r="K247" i="7"/>
  <c r="I247" i="7"/>
  <c r="K243" i="7"/>
  <c r="I243" i="7"/>
  <c r="K239" i="7"/>
  <c r="I239" i="7"/>
  <c r="K235" i="7"/>
  <c r="K248" i="7" s="1"/>
  <c r="K250" i="7" s="1"/>
  <c r="K298" i="7" s="1"/>
  <c r="I235" i="7"/>
  <c r="I248" i="7" s="1"/>
  <c r="I250" i="7" s="1"/>
  <c r="I298" i="7" s="1"/>
  <c r="K228" i="7"/>
  <c r="J228" i="7"/>
  <c r="I228" i="7"/>
  <c r="K224" i="7"/>
  <c r="J224" i="7"/>
  <c r="I224" i="7"/>
  <c r="K220" i="7"/>
  <c r="J220" i="7"/>
  <c r="I220" i="7"/>
  <c r="K216" i="7"/>
  <c r="J216" i="7"/>
  <c r="I216" i="7"/>
  <c r="K212" i="7"/>
  <c r="J212" i="7"/>
  <c r="I212" i="7"/>
  <c r="K208" i="7"/>
  <c r="J208" i="7"/>
  <c r="I208" i="7"/>
  <c r="K27" i="7"/>
  <c r="J27" i="7"/>
  <c r="I27" i="7"/>
  <c r="K22" i="7"/>
  <c r="J22" i="7"/>
  <c r="I22" i="7"/>
  <c r="K18" i="7"/>
  <c r="K229" i="7" s="1"/>
  <c r="K231" i="7" s="1"/>
  <c r="J18" i="7"/>
  <c r="I18" i="7"/>
  <c r="K14" i="7"/>
  <c r="J14" i="7"/>
  <c r="I14" i="7"/>
  <c r="K10" i="7"/>
  <c r="J10" i="7"/>
  <c r="J229" i="7" s="1"/>
  <c r="J231" i="7" s="1"/>
  <c r="I10" i="7"/>
  <c r="I229" i="7" s="1"/>
  <c r="I231" i="7" s="1"/>
  <c r="D2" i="7"/>
  <c r="C2" i="7"/>
  <c r="D2" i="6"/>
  <c r="C2" i="6"/>
  <c r="P55" i="5"/>
  <c r="O55" i="5"/>
  <c r="R54" i="5"/>
  <c r="Q54" i="5"/>
  <c r="Q55" i="5" s="1"/>
  <c r="P54" i="5"/>
  <c r="O54" i="5"/>
  <c r="N54" i="5"/>
  <c r="M54" i="5"/>
  <c r="L54" i="5"/>
  <c r="K54" i="5"/>
  <c r="J54" i="5"/>
  <c r="H54" i="5"/>
  <c r="H55" i="5" s="1"/>
  <c r="R50" i="5"/>
  <c r="R55" i="5" s="1"/>
  <c r="Q50" i="5"/>
  <c r="P50" i="5"/>
  <c r="O50" i="5"/>
  <c r="N50" i="5"/>
  <c r="N55" i="5" s="1"/>
  <c r="M50" i="5"/>
  <c r="M55" i="5" s="1"/>
  <c r="L50" i="5"/>
  <c r="L55" i="5" s="1"/>
  <c r="K50" i="5"/>
  <c r="K55" i="5" s="1"/>
  <c r="J50" i="5"/>
  <c r="J55" i="5" s="1"/>
  <c r="H50" i="5"/>
  <c r="R46" i="5"/>
  <c r="Q46" i="5"/>
  <c r="P46" i="5"/>
  <c r="O46" i="5"/>
  <c r="N46" i="5"/>
  <c r="M46" i="5"/>
  <c r="L46" i="5"/>
  <c r="K46" i="5"/>
  <c r="J46" i="5"/>
  <c r="H46" i="5"/>
  <c r="P42" i="5"/>
  <c r="O42" i="5"/>
  <c r="R41" i="5"/>
  <c r="Q41" i="5"/>
  <c r="Q42" i="5" s="1"/>
  <c r="P41" i="5"/>
  <c r="O41" i="5"/>
  <c r="N41" i="5"/>
  <c r="N42" i="5" s="1"/>
  <c r="M41" i="5"/>
  <c r="L41" i="5"/>
  <c r="K41" i="5"/>
  <c r="J41" i="5"/>
  <c r="H41" i="5"/>
  <c r="H42" i="5" s="1"/>
  <c r="R37" i="5"/>
  <c r="R42" i="5" s="1"/>
  <c r="Q37" i="5"/>
  <c r="P37" i="5"/>
  <c r="O37" i="5"/>
  <c r="N37" i="5"/>
  <c r="M37" i="5"/>
  <c r="M42" i="5" s="1"/>
  <c r="L37" i="5"/>
  <c r="L42" i="5" s="1"/>
  <c r="K37" i="5"/>
  <c r="K42" i="5" s="1"/>
  <c r="J37" i="5"/>
  <c r="J42" i="5" s="1"/>
  <c r="H37" i="5"/>
  <c r="N33" i="5"/>
  <c r="M33" i="5"/>
  <c r="R32" i="5"/>
  <c r="Q32" i="5"/>
  <c r="P32" i="5"/>
  <c r="O32" i="5"/>
  <c r="O33" i="5" s="1"/>
  <c r="N32" i="5"/>
  <c r="M32" i="5"/>
  <c r="L32" i="5"/>
  <c r="L33" i="5" s="1"/>
  <c r="K32" i="5"/>
  <c r="J32" i="5"/>
  <c r="H32" i="5"/>
  <c r="R28" i="5"/>
  <c r="R33" i="5" s="1"/>
  <c r="Q28" i="5"/>
  <c r="Q33" i="5" s="1"/>
  <c r="P28" i="5"/>
  <c r="P33" i="5" s="1"/>
  <c r="O28" i="5"/>
  <c r="N28" i="5"/>
  <c r="M28" i="5"/>
  <c r="L28" i="5"/>
  <c r="K28" i="5"/>
  <c r="K33" i="5" s="1"/>
  <c r="J28" i="5"/>
  <c r="J33" i="5" s="1"/>
  <c r="H28" i="5"/>
  <c r="H33" i="5" s="1"/>
  <c r="L24" i="5"/>
  <c r="K24" i="5"/>
  <c r="R23" i="5"/>
  <c r="R24" i="5" s="1"/>
  <c r="Q23" i="5"/>
  <c r="P23" i="5"/>
  <c r="O23" i="5"/>
  <c r="N23" i="5"/>
  <c r="M23" i="5"/>
  <c r="M24" i="5" s="1"/>
  <c r="L23" i="5"/>
  <c r="K23" i="5"/>
  <c r="J23" i="5"/>
  <c r="J24" i="5" s="1"/>
  <c r="H23" i="5"/>
  <c r="R19" i="5"/>
  <c r="Q19" i="5"/>
  <c r="Q24" i="5" s="1"/>
  <c r="P19" i="5"/>
  <c r="P24" i="5" s="1"/>
  <c r="O19" i="5"/>
  <c r="O24" i="5" s="1"/>
  <c r="N19" i="5"/>
  <c r="N24" i="5" s="1"/>
  <c r="M19" i="5"/>
  <c r="L19" i="5"/>
  <c r="K19" i="5"/>
  <c r="J19" i="5"/>
  <c r="H19" i="5"/>
  <c r="H24" i="5" s="1"/>
  <c r="R15" i="5"/>
  <c r="R56" i="5" s="1"/>
  <c r="Q15" i="5"/>
  <c r="J15" i="5"/>
  <c r="H15" i="5"/>
  <c r="R14" i="5"/>
  <c r="Q14" i="5"/>
  <c r="P14" i="5"/>
  <c r="P15" i="5" s="1"/>
  <c r="O14" i="5"/>
  <c r="N14" i="5"/>
  <c r="M14" i="5"/>
  <c r="L14" i="5"/>
  <c r="K14" i="5"/>
  <c r="K15" i="5" s="1"/>
  <c r="J14" i="5"/>
  <c r="H14" i="5"/>
  <c r="R10" i="5"/>
  <c r="Q10" i="5"/>
  <c r="P10" i="5"/>
  <c r="O10" i="5"/>
  <c r="O15" i="5" s="1"/>
  <c r="O56" i="5" s="1"/>
  <c r="N10" i="5"/>
  <c r="N15" i="5" s="1"/>
  <c r="M10" i="5"/>
  <c r="M15" i="5" s="1"/>
  <c r="L10" i="5"/>
  <c r="L15" i="5" s="1"/>
  <c r="K10" i="5"/>
  <c r="J10" i="5"/>
  <c r="H10" i="5"/>
  <c r="D2" i="5"/>
  <c r="C2" i="5"/>
  <c r="D2" i="4"/>
  <c r="C2" i="4"/>
  <c r="S25" i="3"/>
  <c r="N25" i="3"/>
  <c r="J25" i="3"/>
  <c r="R24" i="3"/>
  <c r="Q24" i="3"/>
  <c r="N24" i="3"/>
  <c r="U23" i="3"/>
  <c r="T23" i="3"/>
  <c r="S23" i="3"/>
  <c r="S24" i="3" s="1"/>
  <c r="R23" i="3"/>
  <c r="Q23" i="3"/>
  <c r="P23" i="3"/>
  <c r="O23" i="3"/>
  <c r="N23" i="3"/>
  <c r="M23" i="3"/>
  <c r="L23" i="3"/>
  <c r="J23" i="3"/>
  <c r="J24" i="3" s="1"/>
  <c r="U19" i="3"/>
  <c r="U24" i="3" s="1"/>
  <c r="T19" i="3"/>
  <c r="T24" i="3" s="1"/>
  <c r="S19" i="3"/>
  <c r="R19" i="3"/>
  <c r="Q19" i="3"/>
  <c r="P19" i="3"/>
  <c r="P24" i="3" s="1"/>
  <c r="O19" i="3"/>
  <c r="O24" i="3" s="1"/>
  <c r="N19" i="3"/>
  <c r="M19" i="3"/>
  <c r="M24" i="3" s="1"/>
  <c r="L19" i="3"/>
  <c r="L24" i="3" s="1"/>
  <c r="J19" i="3"/>
  <c r="S15" i="3"/>
  <c r="R15" i="3"/>
  <c r="O15" i="3"/>
  <c r="J15" i="3"/>
  <c r="U14" i="3"/>
  <c r="T14" i="3"/>
  <c r="T15" i="3" s="1"/>
  <c r="S14" i="3"/>
  <c r="R14" i="3"/>
  <c r="Q14" i="3"/>
  <c r="P14" i="3"/>
  <c r="O14" i="3"/>
  <c r="N14" i="3"/>
  <c r="M14" i="3"/>
  <c r="L14" i="3"/>
  <c r="L15" i="3" s="1"/>
  <c r="J14" i="3"/>
  <c r="U10" i="3"/>
  <c r="U15" i="3" s="1"/>
  <c r="T10" i="3"/>
  <c r="T25" i="3" s="1"/>
  <c r="S10" i="3"/>
  <c r="R10" i="3"/>
  <c r="R25" i="3" s="1"/>
  <c r="Q10" i="3"/>
  <c r="Q25" i="3" s="1"/>
  <c r="P10" i="3"/>
  <c r="P15" i="3" s="1"/>
  <c r="O10" i="3"/>
  <c r="N10" i="3"/>
  <c r="N15" i="3" s="1"/>
  <c r="M10" i="3"/>
  <c r="M15" i="3" s="1"/>
  <c r="L10" i="3"/>
  <c r="L25" i="3" s="1"/>
  <c r="J10" i="3"/>
  <c r="D2" i="3"/>
  <c r="C2" i="3"/>
  <c r="D2" i="2"/>
  <c r="C2" i="2"/>
  <c r="P1094" i="1"/>
  <c r="O1094" i="1"/>
  <c r="X1089" i="1"/>
  <c r="X1097" i="1" s="1"/>
  <c r="W1089" i="1"/>
  <c r="W1097" i="1" s="1"/>
  <c r="S1089" i="1"/>
  <c r="S1097" i="1" s="1"/>
  <c r="R1089" i="1"/>
  <c r="R1097" i="1" s="1"/>
  <c r="Q1089" i="1"/>
  <c r="Q1097" i="1" s="1"/>
  <c r="P1089" i="1"/>
  <c r="P1097" i="1" s="1"/>
  <c r="O1089" i="1"/>
  <c r="O1097" i="1" s="1"/>
  <c r="N1089" i="1"/>
  <c r="N1097" i="1" s="1"/>
  <c r="M1089" i="1"/>
  <c r="M1097" i="1" s="1"/>
  <c r="K1089" i="1"/>
  <c r="K1097" i="1" s="1"/>
  <c r="W1085" i="1"/>
  <c r="W1096" i="1" s="1"/>
  <c r="S1085" i="1"/>
  <c r="S1096" i="1" s="1"/>
  <c r="K1085" i="1"/>
  <c r="K1096" i="1" s="1"/>
  <c r="X1084" i="1"/>
  <c r="X1085" i="1" s="1"/>
  <c r="X1096" i="1" s="1"/>
  <c r="W1084" i="1"/>
  <c r="S1084" i="1"/>
  <c r="R1084" i="1"/>
  <c r="R1085" i="1" s="1"/>
  <c r="R1096" i="1" s="1"/>
  <c r="Q1084" i="1"/>
  <c r="P1084" i="1"/>
  <c r="O1084" i="1"/>
  <c r="N1084" i="1"/>
  <c r="M1084" i="1"/>
  <c r="M1085" i="1" s="1"/>
  <c r="M1096" i="1" s="1"/>
  <c r="K1084" i="1"/>
  <c r="X1080" i="1"/>
  <c r="W1080" i="1"/>
  <c r="S1080" i="1"/>
  <c r="R1080" i="1"/>
  <c r="Q1080" i="1"/>
  <c r="Q1085" i="1" s="1"/>
  <c r="Q1096" i="1" s="1"/>
  <c r="P1080" i="1"/>
  <c r="P1085" i="1" s="1"/>
  <c r="P1096" i="1" s="1"/>
  <c r="O1080" i="1"/>
  <c r="O1085" i="1" s="1"/>
  <c r="O1096" i="1" s="1"/>
  <c r="N1080" i="1"/>
  <c r="N1085" i="1" s="1"/>
  <c r="N1096" i="1" s="1"/>
  <c r="M1080" i="1"/>
  <c r="K1080" i="1"/>
  <c r="X1076" i="1"/>
  <c r="X1094" i="1" s="1"/>
  <c r="W1076" i="1"/>
  <c r="W1094" i="1" s="1"/>
  <c r="S1076" i="1"/>
  <c r="S1094" i="1" s="1"/>
  <c r="R1076" i="1"/>
  <c r="R1094" i="1" s="1"/>
  <c r="Q1076" i="1"/>
  <c r="Q1094" i="1" s="1"/>
  <c r="P1076" i="1"/>
  <c r="O1076" i="1"/>
  <c r="N1076" i="1"/>
  <c r="N1094" i="1" s="1"/>
  <c r="M1076" i="1"/>
  <c r="M1094" i="1" s="1"/>
  <c r="K1076" i="1"/>
  <c r="K1094" i="1" s="1"/>
  <c r="X1071" i="1"/>
  <c r="X1095" i="1" s="1"/>
  <c r="W1071" i="1"/>
  <c r="S1071" i="1"/>
  <c r="R1071" i="1"/>
  <c r="Q1071" i="1"/>
  <c r="P1071" i="1"/>
  <c r="O1071" i="1"/>
  <c r="N1071" i="1"/>
  <c r="N1095" i="1" s="1"/>
  <c r="M1071" i="1"/>
  <c r="M1095" i="1" s="1"/>
  <c r="K1071" i="1"/>
  <c r="X1067" i="1"/>
  <c r="W1067" i="1"/>
  <c r="W1095" i="1" s="1"/>
  <c r="S1067" i="1"/>
  <c r="S1095" i="1" s="1"/>
  <c r="R1067" i="1"/>
  <c r="R1095" i="1" s="1"/>
  <c r="Q1067" i="1"/>
  <c r="Q1095" i="1" s="1"/>
  <c r="P1067" i="1"/>
  <c r="P1095" i="1" s="1"/>
  <c r="O1067" i="1"/>
  <c r="O1095" i="1" s="1"/>
  <c r="N1067" i="1"/>
  <c r="M1067" i="1"/>
  <c r="K1067" i="1"/>
  <c r="K1095" i="1" s="1"/>
  <c r="X1063" i="1"/>
  <c r="W1063" i="1"/>
  <c r="S1063" i="1"/>
  <c r="R1063" i="1"/>
  <c r="Q1063" i="1"/>
  <c r="P1063" i="1"/>
  <c r="O1063" i="1"/>
  <c r="N1063" i="1"/>
  <c r="M1063" i="1"/>
  <c r="K1063" i="1"/>
  <c r="X1059" i="1"/>
  <c r="W1059" i="1"/>
  <c r="W1072" i="1" s="1"/>
  <c r="S1059" i="1"/>
  <c r="S1072" i="1" s="1"/>
  <c r="R1059" i="1"/>
  <c r="Q1059" i="1"/>
  <c r="P1059" i="1"/>
  <c r="O1059" i="1"/>
  <c r="N1059" i="1"/>
  <c r="M1059" i="1"/>
  <c r="K1059" i="1"/>
  <c r="K1072" i="1" s="1"/>
  <c r="X1055" i="1"/>
  <c r="W1055" i="1"/>
  <c r="S1055" i="1"/>
  <c r="R1055" i="1"/>
  <c r="Q1055" i="1"/>
  <c r="P1055" i="1"/>
  <c r="O1055" i="1"/>
  <c r="N1055" i="1"/>
  <c r="M1055" i="1"/>
  <c r="K1055" i="1"/>
  <c r="X1051" i="1"/>
  <c r="X1072" i="1" s="1"/>
  <c r="W1051" i="1"/>
  <c r="S1051" i="1"/>
  <c r="R1051" i="1"/>
  <c r="R1072" i="1" s="1"/>
  <c r="Q1051" i="1"/>
  <c r="Q1072" i="1" s="1"/>
  <c r="P1051" i="1"/>
  <c r="P1072" i="1" s="1"/>
  <c r="O1051" i="1"/>
  <c r="O1072" i="1" s="1"/>
  <c r="N1051" i="1"/>
  <c r="N1072" i="1" s="1"/>
  <c r="M1051" i="1"/>
  <c r="M1072" i="1" s="1"/>
  <c r="K1051" i="1"/>
  <c r="X1046" i="1"/>
  <c r="W1046" i="1"/>
  <c r="S1046" i="1"/>
  <c r="R1046" i="1"/>
  <c r="Q1046" i="1"/>
  <c r="P1046" i="1"/>
  <c r="O1046" i="1"/>
  <c r="N1046" i="1"/>
  <c r="M1046" i="1"/>
  <c r="K1046" i="1"/>
  <c r="X1042" i="1"/>
  <c r="W1042" i="1"/>
  <c r="S1042" i="1"/>
  <c r="R1042" i="1"/>
  <c r="Q1042" i="1"/>
  <c r="P1042" i="1"/>
  <c r="O1042" i="1"/>
  <c r="N1042" i="1"/>
  <c r="M1042" i="1"/>
  <c r="K1042" i="1"/>
  <c r="X1038" i="1"/>
  <c r="W1038" i="1"/>
  <c r="S1038" i="1"/>
  <c r="R1038" i="1"/>
  <c r="Q1038" i="1"/>
  <c r="P1038" i="1"/>
  <c r="O1038" i="1"/>
  <c r="N1038" i="1"/>
  <c r="M1038" i="1"/>
  <c r="K1038" i="1"/>
  <c r="X1034" i="1"/>
  <c r="X1047" i="1" s="1"/>
  <c r="W1034" i="1"/>
  <c r="W1047" i="1" s="1"/>
  <c r="S1034" i="1"/>
  <c r="S1047" i="1" s="1"/>
  <c r="R1034" i="1"/>
  <c r="R1047" i="1" s="1"/>
  <c r="Q1034" i="1"/>
  <c r="Q1047" i="1" s="1"/>
  <c r="P1034" i="1"/>
  <c r="P1047" i="1" s="1"/>
  <c r="O1034" i="1"/>
  <c r="O1047" i="1" s="1"/>
  <c r="N1034" i="1"/>
  <c r="N1047" i="1" s="1"/>
  <c r="M1034" i="1"/>
  <c r="M1047" i="1" s="1"/>
  <c r="K1034" i="1"/>
  <c r="K1047" i="1" s="1"/>
  <c r="X1029" i="1"/>
  <c r="W1029" i="1"/>
  <c r="S1029" i="1"/>
  <c r="R1029" i="1"/>
  <c r="Q1029" i="1"/>
  <c r="P1029" i="1"/>
  <c r="O1029" i="1"/>
  <c r="N1029" i="1"/>
  <c r="M1029" i="1"/>
  <c r="K1029" i="1"/>
  <c r="X802" i="1"/>
  <c r="W802" i="1"/>
  <c r="S802" i="1"/>
  <c r="R802" i="1"/>
  <c r="Q802" i="1"/>
  <c r="P802" i="1"/>
  <c r="O802" i="1"/>
  <c r="N802" i="1"/>
  <c r="M802" i="1"/>
  <c r="K802" i="1"/>
  <c r="X798" i="1"/>
  <c r="W798" i="1"/>
  <c r="S798" i="1"/>
  <c r="R798" i="1"/>
  <c r="Q798" i="1"/>
  <c r="P798" i="1"/>
  <c r="O798" i="1"/>
  <c r="N798" i="1"/>
  <c r="M798" i="1"/>
  <c r="K798" i="1"/>
  <c r="X794" i="1"/>
  <c r="X1030" i="1" s="1"/>
  <c r="W794" i="1"/>
  <c r="W1030" i="1" s="1"/>
  <c r="S794" i="1"/>
  <c r="S1030" i="1" s="1"/>
  <c r="R794" i="1"/>
  <c r="R1030" i="1" s="1"/>
  <c r="Q794" i="1"/>
  <c r="Q1030" i="1" s="1"/>
  <c r="P794" i="1"/>
  <c r="P1030" i="1" s="1"/>
  <c r="O794" i="1"/>
  <c r="O1030" i="1" s="1"/>
  <c r="N794" i="1"/>
  <c r="N1030" i="1" s="1"/>
  <c r="M794" i="1"/>
  <c r="M1030" i="1" s="1"/>
  <c r="K794" i="1"/>
  <c r="K1030" i="1" s="1"/>
  <c r="X194" i="1"/>
  <c r="W194" i="1"/>
  <c r="S194" i="1"/>
  <c r="R194" i="1"/>
  <c r="Q194" i="1"/>
  <c r="P194" i="1"/>
  <c r="O194" i="1"/>
  <c r="N194" i="1"/>
  <c r="M194" i="1"/>
  <c r="K194" i="1"/>
  <c r="X190" i="1"/>
  <c r="W190" i="1"/>
  <c r="S190" i="1"/>
  <c r="R190" i="1"/>
  <c r="Q190" i="1"/>
  <c r="P190" i="1"/>
  <c r="O190" i="1"/>
  <c r="N190" i="1"/>
  <c r="M190" i="1"/>
  <c r="K190" i="1"/>
  <c r="X186" i="1"/>
  <c r="W186" i="1"/>
  <c r="S186" i="1"/>
  <c r="R186" i="1"/>
  <c r="Q186" i="1"/>
  <c r="P186" i="1"/>
  <c r="O186" i="1"/>
  <c r="N186" i="1"/>
  <c r="M186" i="1"/>
  <c r="K186" i="1"/>
  <c r="X182" i="1"/>
  <c r="X195" i="1" s="1"/>
  <c r="W182" i="1"/>
  <c r="W195" i="1" s="1"/>
  <c r="S182" i="1"/>
  <c r="S195" i="1" s="1"/>
  <c r="R182" i="1"/>
  <c r="R195" i="1" s="1"/>
  <c r="Q182" i="1"/>
  <c r="Q195" i="1" s="1"/>
  <c r="P182" i="1"/>
  <c r="P195" i="1" s="1"/>
  <c r="O182" i="1"/>
  <c r="O195" i="1" s="1"/>
  <c r="N182" i="1"/>
  <c r="N195" i="1" s="1"/>
  <c r="M182" i="1"/>
  <c r="M195" i="1" s="1"/>
  <c r="K182" i="1"/>
  <c r="K195" i="1" s="1"/>
  <c r="X106" i="1"/>
  <c r="W106" i="1"/>
  <c r="S106" i="1"/>
  <c r="R106" i="1"/>
  <c r="R1093" i="1" s="1"/>
  <c r="Q106" i="1"/>
  <c r="Q1093" i="1" s="1"/>
  <c r="P106" i="1"/>
  <c r="O106" i="1"/>
  <c r="N106" i="1"/>
  <c r="M106" i="1"/>
  <c r="K106" i="1"/>
  <c r="X102" i="1"/>
  <c r="W102" i="1"/>
  <c r="W1092" i="1" s="1"/>
  <c r="S102" i="1"/>
  <c r="S1092" i="1" s="1"/>
  <c r="R102" i="1"/>
  <c r="Q102" i="1"/>
  <c r="P102" i="1"/>
  <c r="O102" i="1"/>
  <c r="N102" i="1"/>
  <c r="M102" i="1"/>
  <c r="K102" i="1"/>
  <c r="K1092" i="1" s="1"/>
  <c r="X98" i="1"/>
  <c r="X1091" i="1" s="1"/>
  <c r="W98" i="1"/>
  <c r="S98" i="1"/>
  <c r="R98" i="1"/>
  <c r="Q98" i="1"/>
  <c r="P98" i="1"/>
  <c r="O98" i="1"/>
  <c r="N98" i="1"/>
  <c r="N1091" i="1" s="1"/>
  <c r="M98" i="1"/>
  <c r="M1091" i="1" s="1"/>
  <c r="K98" i="1"/>
  <c r="X94" i="1"/>
  <c r="X107" i="1" s="1"/>
  <c r="W94" i="1"/>
  <c r="W107" i="1" s="1"/>
  <c r="S94" i="1"/>
  <c r="S107" i="1" s="1"/>
  <c r="R94" i="1"/>
  <c r="R107" i="1" s="1"/>
  <c r="Q94" i="1"/>
  <c r="Q107" i="1" s="1"/>
  <c r="P94" i="1"/>
  <c r="P1090" i="1" s="1"/>
  <c r="O94" i="1"/>
  <c r="O1090" i="1" s="1"/>
  <c r="N94" i="1"/>
  <c r="N107" i="1" s="1"/>
  <c r="M94" i="1"/>
  <c r="M107" i="1" s="1"/>
  <c r="K94" i="1"/>
  <c r="K107" i="1" s="1"/>
  <c r="X79" i="1"/>
  <c r="W79" i="1"/>
  <c r="S79" i="1"/>
  <c r="R79" i="1"/>
  <c r="Q79" i="1"/>
  <c r="P79" i="1"/>
  <c r="O79" i="1"/>
  <c r="N79" i="1"/>
  <c r="M79" i="1"/>
  <c r="K79" i="1"/>
  <c r="X75" i="1"/>
  <c r="W75" i="1"/>
  <c r="S75" i="1"/>
  <c r="R75" i="1"/>
  <c r="Q75" i="1"/>
  <c r="P75" i="1"/>
  <c r="O75" i="1"/>
  <c r="N75" i="1"/>
  <c r="M75" i="1"/>
  <c r="K75" i="1"/>
  <c r="X71" i="1"/>
  <c r="W71" i="1"/>
  <c r="S71" i="1"/>
  <c r="R71" i="1"/>
  <c r="Q71" i="1"/>
  <c r="P71" i="1"/>
  <c r="O71" i="1"/>
  <c r="N71" i="1"/>
  <c r="M71" i="1"/>
  <c r="K71" i="1"/>
  <c r="X67" i="1"/>
  <c r="X80" i="1" s="1"/>
  <c r="W67" i="1"/>
  <c r="W80" i="1" s="1"/>
  <c r="S67" i="1"/>
  <c r="S80" i="1" s="1"/>
  <c r="R67" i="1"/>
  <c r="R80" i="1" s="1"/>
  <c r="Q67" i="1"/>
  <c r="Q80" i="1" s="1"/>
  <c r="P67" i="1"/>
  <c r="P80" i="1" s="1"/>
  <c r="O67" i="1"/>
  <c r="O80" i="1" s="1"/>
  <c r="N67" i="1"/>
  <c r="N80" i="1" s="1"/>
  <c r="M67" i="1"/>
  <c r="M80" i="1" s="1"/>
  <c r="K67" i="1"/>
  <c r="K80" i="1" s="1"/>
  <c r="X53" i="1"/>
  <c r="W53" i="1"/>
  <c r="S53" i="1"/>
  <c r="R53" i="1"/>
  <c r="Q53" i="1"/>
  <c r="P53" i="1"/>
  <c r="O53" i="1"/>
  <c r="N53" i="1"/>
  <c r="M53" i="1"/>
  <c r="K53" i="1"/>
  <c r="X49" i="1"/>
  <c r="W49" i="1"/>
  <c r="S49" i="1"/>
  <c r="R49" i="1"/>
  <c r="Q49" i="1"/>
  <c r="P49" i="1"/>
  <c r="O49" i="1"/>
  <c r="N49" i="1"/>
  <c r="M49" i="1"/>
  <c r="K49" i="1"/>
  <c r="X45" i="1"/>
  <c r="W45" i="1"/>
  <c r="S45" i="1"/>
  <c r="R45" i="1"/>
  <c r="Q45" i="1"/>
  <c r="P45" i="1"/>
  <c r="O45" i="1"/>
  <c r="N45" i="1"/>
  <c r="M45" i="1"/>
  <c r="K45" i="1"/>
  <c r="X41" i="1"/>
  <c r="X54" i="1" s="1"/>
  <c r="W41" i="1"/>
  <c r="W54" i="1" s="1"/>
  <c r="S41" i="1"/>
  <c r="S54" i="1" s="1"/>
  <c r="R41" i="1"/>
  <c r="R54" i="1" s="1"/>
  <c r="Q41" i="1"/>
  <c r="Q54" i="1" s="1"/>
  <c r="P41" i="1"/>
  <c r="P54" i="1" s="1"/>
  <c r="O41" i="1"/>
  <c r="O54" i="1" s="1"/>
  <c r="N41" i="1"/>
  <c r="N54" i="1" s="1"/>
  <c r="M41" i="1"/>
  <c r="M54" i="1" s="1"/>
  <c r="K41" i="1"/>
  <c r="K54" i="1" s="1"/>
  <c r="X36" i="1"/>
  <c r="X1093" i="1" s="1"/>
  <c r="W36" i="1"/>
  <c r="W1093" i="1" s="1"/>
  <c r="S36" i="1"/>
  <c r="S1093" i="1" s="1"/>
  <c r="R36" i="1"/>
  <c r="Q36" i="1"/>
  <c r="P36" i="1"/>
  <c r="P1093" i="1" s="1"/>
  <c r="O36" i="1"/>
  <c r="O1093" i="1" s="1"/>
  <c r="N36" i="1"/>
  <c r="N1093" i="1" s="1"/>
  <c r="M36" i="1"/>
  <c r="M1093" i="1" s="1"/>
  <c r="K36" i="1"/>
  <c r="K1093" i="1" s="1"/>
  <c r="X32" i="1"/>
  <c r="X1092" i="1" s="1"/>
  <c r="W32" i="1"/>
  <c r="S32" i="1"/>
  <c r="R32" i="1"/>
  <c r="R37" i="1" s="1"/>
  <c r="Q32" i="1"/>
  <c r="Q1092" i="1" s="1"/>
  <c r="P32" i="1"/>
  <c r="P1092" i="1" s="1"/>
  <c r="O32" i="1"/>
  <c r="O1092" i="1" s="1"/>
  <c r="N32" i="1"/>
  <c r="N1092" i="1" s="1"/>
  <c r="M32" i="1"/>
  <c r="M1092" i="1" s="1"/>
  <c r="K32" i="1"/>
  <c r="X28" i="1"/>
  <c r="W28" i="1"/>
  <c r="W1091" i="1" s="1"/>
  <c r="S28" i="1"/>
  <c r="S1091" i="1" s="1"/>
  <c r="R28" i="1"/>
  <c r="R1091" i="1" s="1"/>
  <c r="Q28" i="1"/>
  <c r="Q1091" i="1" s="1"/>
  <c r="P28" i="1"/>
  <c r="P1091" i="1" s="1"/>
  <c r="O28" i="1"/>
  <c r="O1091" i="1" s="1"/>
  <c r="N28" i="1"/>
  <c r="M28" i="1"/>
  <c r="K28" i="1"/>
  <c r="K1091" i="1" s="1"/>
  <c r="X24" i="1"/>
  <c r="X1090" i="1" s="1"/>
  <c r="W24" i="1"/>
  <c r="W1090" i="1" s="1"/>
  <c r="S24" i="1"/>
  <c r="S37" i="1" s="1"/>
  <c r="S1098" i="1" s="1"/>
  <c r="R24" i="1"/>
  <c r="R1090" i="1" s="1"/>
  <c r="Q24" i="1"/>
  <c r="Q37" i="1" s="1"/>
  <c r="Q1098" i="1" s="1"/>
  <c r="P24" i="1"/>
  <c r="P37" i="1" s="1"/>
  <c r="O24" i="1"/>
  <c r="O37" i="1" s="1"/>
  <c r="N24" i="1"/>
  <c r="N37" i="1" s="1"/>
  <c r="N1098" i="1" s="1"/>
  <c r="M24" i="1"/>
  <c r="M1090" i="1" s="1"/>
  <c r="K24" i="1"/>
  <c r="K1090" i="1" s="1"/>
  <c r="Q56" i="5" l="1"/>
  <c r="I299" i="7"/>
  <c r="K299" i="7"/>
  <c r="P133" i="9"/>
  <c r="L134" i="9"/>
  <c r="Q133" i="9"/>
  <c r="P56" i="5"/>
  <c r="I416" i="8"/>
  <c r="R416" i="8"/>
  <c r="L415" i="8"/>
  <c r="U70" i="9"/>
  <c r="U134" i="9" s="1"/>
  <c r="S416" i="8"/>
  <c r="M415" i="8"/>
  <c r="U415" i="8"/>
  <c r="R1098" i="1"/>
  <c r="L56" i="5"/>
  <c r="K416" i="8"/>
  <c r="N415" i="8"/>
  <c r="V415" i="8"/>
  <c r="M133" i="9"/>
  <c r="U133" i="9"/>
  <c r="O1098" i="1"/>
  <c r="M56" i="5"/>
  <c r="K56" i="5"/>
  <c r="H56" i="5"/>
  <c r="L416" i="8"/>
  <c r="U346" i="8"/>
  <c r="U348" i="8" s="1"/>
  <c r="U416" i="8" s="1"/>
  <c r="N133" i="9"/>
  <c r="L133" i="9"/>
  <c r="T133" i="9"/>
  <c r="T134" i="9"/>
  <c r="N56" i="5"/>
  <c r="J56" i="5"/>
  <c r="M416" i="8"/>
  <c r="X37" i="1"/>
  <c r="X1098" i="1" s="1"/>
  <c r="K37" i="1"/>
  <c r="K1098" i="1" s="1"/>
  <c r="W37" i="1"/>
  <c r="W1098" i="1" s="1"/>
  <c r="N1090" i="1"/>
  <c r="R1092" i="1"/>
  <c r="Q15" i="3"/>
  <c r="M25" i="3"/>
  <c r="U25" i="3"/>
  <c r="O107" i="1"/>
  <c r="Q1090" i="1"/>
  <c r="P25" i="3"/>
  <c r="M37" i="1"/>
  <c r="M1098" i="1" s="1"/>
  <c r="S1090" i="1"/>
  <c r="P107" i="1"/>
  <c r="P1098" i="1" s="1"/>
  <c r="O25" i="3"/>
</calcChain>
</file>

<file path=xl/sharedStrings.xml><?xml version="1.0" encoding="utf-8"?>
<sst xmlns="http://schemas.openxmlformats.org/spreadsheetml/2006/main" count="33820" uniqueCount="4538">
  <si>
    <t>Schedule D - Part 1 - Long Term Bonds Owned</t>
  </si>
  <si>
    <t xml:space="preserve">Total Foreign Exchange Change in Book/Adjusted Carrying Value </t>
  </si>
  <si>
    <t/>
  </si>
  <si>
    <t>0020000000</t>
  </si>
  <si>
    <t>0039999999</t>
  </si>
  <si>
    <t>Subtotal - Bonds - All Other Governments - Issuer Obligations</t>
  </si>
  <si>
    <t>Subtotal - Bonds - All Other Governments - Residential Mortgage-Backed Securities</t>
  </si>
  <si>
    <t>IDC (Automated)</t>
  </si>
  <si>
    <t>B</t>
  </si>
  <si>
    <t>605581-NE-3</t>
  </si>
  <si>
    <t>MS</t>
  </si>
  <si>
    <t>PENNSYLVANIA ST</t>
  </si>
  <si>
    <t>738850-QN-9</t>
  </si>
  <si>
    <t>Subtotal - Bonds - U.S. Political Subdivisions - Commercial Mortgage-Backed Securities</t>
  </si>
  <si>
    <t>0640000000</t>
  </si>
  <si>
    <t>0709999999</t>
  </si>
  <si>
    <t>ALABAMA ECON SETTLEMENT AUTH B</t>
  </si>
  <si>
    <t>01179R-L9-2</t>
  </si>
  <si>
    <t>0810000009</t>
  </si>
  <si>
    <t>CALIFORNIA ST UNIV REV</t>
  </si>
  <si>
    <t>0810000027</t>
  </si>
  <si>
    <t>23542J-BJ-3</t>
  </si>
  <si>
    <t>0810000034</t>
  </si>
  <si>
    <t>ILLINOIS FIN</t>
  </si>
  <si>
    <t>0810000038</t>
  </si>
  <si>
    <t>NEW YORK ST DORM AUTH NEW YORK ST DORM A</t>
  </si>
  <si>
    <t>0810000045</t>
  </si>
  <si>
    <t>PORT MORROW ORE TRANSMISSION F</t>
  </si>
  <si>
    <t>0810000049</t>
  </si>
  <si>
    <t>0810000052</t>
  </si>
  <si>
    <t>WA</t>
  </si>
  <si>
    <t>0810000056</t>
  </si>
  <si>
    <t>0810000063</t>
  </si>
  <si>
    <t>0810000067</t>
  </si>
  <si>
    <t>0810000070</t>
  </si>
  <si>
    <t>Subtotal - Bonds - U.S. Special Revenues - Commercial Mortgage-Backed Securities</t>
  </si>
  <si>
    <t>HDBLS2Q6GV1LSKQPBS54</t>
  </si>
  <si>
    <t>025816-BR-9</t>
  </si>
  <si>
    <t>025816-BS-7</t>
  </si>
  <si>
    <t>AMERICAN TOWER CORP AMERICAN TOWER CORPO</t>
  </si>
  <si>
    <t>AMERICAN TOWER CORP</t>
  </si>
  <si>
    <t>62QBXGPJ34PQ72Z12S66</t>
  </si>
  <si>
    <t>040555-DD-3</t>
  </si>
  <si>
    <t>04621X-AN-8</t>
  </si>
  <si>
    <t>AUTODESK INC</t>
  </si>
  <si>
    <t>BBVA USA</t>
  </si>
  <si>
    <t>BMW US CAPITAL LLC Series 144A</t>
  </si>
  <si>
    <t>BANK OF NEW YORK MELLON/THE NY</t>
  </si>
  <si>
    <t>BERRY GLOBAL ESCROW CORPORATIO Series 14</t>
  </si>
  <si>
    <t>09261H-B*-7</t>
  </si>
  <si>
    <t>BOSTON SCIENTIFIC CORP</t>
  </si>
  <si>
    <t>1010000069</t>
  </si>
  <si>
    <t>118230-AN-1</t>
  </si>
  <si>
    <t>BUNGE LIMITED FINANCE CORP BUNGE LIMITED</t>
  </si>
  <si>
    <t>N4NZD428CHASH3MSNS34</t>
  </si>
  <si>
    <t>CRH AMERICA FINANCE INC Series 144A</t>
  </si>
  <si>
    <t>1010000087</t>
  </si>
  <si>
    <t>134429-BF-5</t>
  </si>
  <si>
    <t>1010000094</t>
  </si>
  <si>
    <t>14149Y-BA-5</t>
  </si>
  <si>
    <t>1010000098</t>
  </si>
  <si>
    <t>14448C-AP-9</t>
  </si>
  <si>
    <t>CATERPILLAR FINANCIAL SERVICES CATERPILL</t>
  </si>
  <si>
    <t>549300Z7JJ4TQSQGT333</t>
  </si>
  <si>
    <t>15135B-AZ-4</t>
  </si>
  <si>
    <t>CENTRAL GARDEN &amp; PET CO Series 144A</t>
  </si>
  <si>
    <t>CHEVRON CORP</t>
  </si>
  <si>
    <t>COLONIAL ENTERPRISES INC Series 144A</t>
  </si>
  <si>
    <t>54930035UDEIH090K650</t>
  </si>
  <si>
    <t>207651-F@-4</t>
  </si>
  <si>
    <t>COX COMMUNICATIONS INC</t>
  </si>
  <si>
    <t>233851-BJ-2</t>
  </si>
  <si>
    <t>24703T-AE-6</t>
  </si>
  <si>
    <t>ZQUIP1CSZO8LXRBSOU78</t>
  </si>
  <si>
    <t>1010000178</t>
  </si>
  <si>
    <t>EVERSOURCE ENERGY</t>
  </si>
  <si>
    <t>1010000185</t>
  </si>
  <si>
    <t>1010000189</t>
  </si>
  <si>
    <t>1010000196</t>
  </si>
  <si>
    <t>FOX CORP</t>
  </si>
  <si>
    <t>361448-BK-8</t>
  </si>
  <si>
    <t>GAP INC Series 144A</t>
  </si>
  <si>
    <t>9C1X8XOOTYY2FNYTVH06</t>
  </si>
  <si>
    <t>GRAPHIC PACKAGING INTERNATIONA Series 14</t>
  </si>
  <si>
    <t>KNX4USFCNGPY45LOCE31</t>
  </si>
  <si>
    <t>INTERCONTINENTALEXCHANGE INC</t>
  </si>
  <si>
    <t>LEGGETT AND PLATT INCORPORATED</t>
  </si>
  <si>
    <t>1010000269</t>
  </si>
  <si>
    <t>1010000287</t>
  </si>
  <si>
    <t>1010000294</t>
  </si>
  <si>
    <t>1010000298</t>
  </si>
  <si>
    <t>8JB38FFW1Y3C1HM8E841</t>
  </si>
  <si>
    <t>4NYF266XZC35SCTGX023</t>
  </si>
  <si>
    <t>649322-AG-9</t>
  </si>
  <si>
    <t>665228-H*-6</t>
  </si>
  <si>
    <t>NORTHWEST PIPELINE LLC</t>
  </si>
  <si>
    <t>OREILLY AUTOMOTIVE INC</t>
  </si>
  <si>
    <t>PAYCHEX INC</t>
  </si>
  <si>
    <t>FJSUNZKFNQ5YPJ5OT455</t>
  </si>
  <si>
    <t>72147K-AF-5</t>
  </si>
  <si>
    <t>736508-S#-0</t>
  </si>
  <si>
    <t>PRINCIPAL LIFE GLOBAL FUNDING Series 144</t>
  </si>
  <si>
    <t>75951A-AN-8</t>
  </si>
  <si>
    <t>1010000378</t>
  </si>
  <si>
    <t>771196-BL-5</t>
  </si>
  <si>
    <t>1010000385</t>
  </si>
  <si>
    <t>S&amp;P GLOBAL INC</t>
  </si>
  <si>
    <t>1010000389</t>
  </si>
  <si>
    <t>549300RKVM2ME20JHZ15</t>
  </si>
  <si>
    <t>1010000396</t>
  </si>
  <si>
    <t>838518-C#-3</t>
  </si>
  <si>
    <t>549300DJ09SMTO561131</t>
  </si>
  <si>
    <t>OQSJ1DU9TAOC51A47K68</t>
  </si>
  <si>
    <t>T-MOBILE USA INC</t>
  </si>
  <si>
    <t>6OQWTZ1SPC04IFT4T704</t>
  </si>
  <si>
    <t>89788M-AA-0</t>
  </si>
  <si>
    <t>90331H-PL-1</t>
  </si>
  <si>
    <t>904764-BB-2</t>
  </si>
  <si>
    <t>907818-FJ-2</t>
  </si>
  <si>
    <t>UNITED ILLUMINATING CO</t>
  </si>
  <si>
    <t>US BANCORP</t>
  </si>
  <si>
    <t>VALERO ENERGY CORPORATION</t>
  </si>
  <si>
    <t>928563-AK-1</t>
  </si>
  <si>
    <t>Y87794H0US1R65VBXU25</t>
  </si>
  <si>
    <t>94106L-BQ-1</t>
  </si>
  <si>
    <t>96145D-AD-7</t>
  </si>
  <si>
    <t>WILLIAMS PRTNRS</t>
  </si>
  <si>
    <t>WISCONSIN GAS CO</t>
  </si>
  <si>
    <t>1010000469</t>
  </si>
  <si>
    <t>ALIMENTATION COUCHE-TARD INC Series 144A</t>
  </si>
  <si>
    <t>ALIMENTATION COUCHE-TARD INC</t>
  </si>
  <si>
    <t>1010000476</t>
  </si>
  <si>
    <t>124900-AD-3</t>
  </si>
  <si>
    <t>ENBRIDGE INC</t>
  </si>
  <si>
    <t>66977W-AQ-2</t>
  </si>
  <si>
    <t>1010000487</t>
  </si>
  <si>
    <t>00131L-AB-1</t>
  </si>
  <si>
    <t>1010000494</t>
  </si>
  <si>
    <t>013822-AG-6</t>
  </si>
  <si>
    <t>ANGLO AMERICAN CAPITAL PLC Series 144A</t>
  </si>
  <si>
    <t>034863-AS-9</t>
  </si>
  <si>
    <t>034863-AT-7</t>
  </si>
  <si>
    <t>1010000498</t>
  </si>
  <si>
    <t>302154-CW-7</t>
  </si>
  <si>
    <t>KIMBERLY CLARK DE MEXICO SAB D</t>
  </si>
  <si>
    <t>606822-CR-3</t>
  </si>
  <si>
    <t>NATIONAL AUSTRALIA BANK LIMITE</t>
  </si>
  <si>
    <t>NORDEA BANK ABP Series 144A</t>
  </si>
  <si>
    <t>67078A-AE-3</t>
  </si>
  <si>
    <t>78440P-AE-8</t>
  </si>
  <si>
    <t>SK TELECOM CO LTD</t>
  </si>
  <si>
    <t>SPCM SA Series 144A</t>
  </si>
  <si>
    <t>PUCKW5P5O3XMOZVH7T53</t>
  </si>
  <si>
    <t>1010000567</t>
  </si>
  <si>
    <t>1010000578</t>
  </si>
  <si>
    <t>QUADGAS FINANCE PLC</t>
  </si>
  <si>
    <t>1010000585</t>
  </si>
  <si>
    <t>1010000589</t>
  </si>
  <si>
    <t>POWERCO LTD</t>
  </si>
  <si>
    <t>1010000596</t>
  </si>
  <si>
    <t>AEP TEXAS CENTRAL TRANSITION F AEP TEXAS</t>
  </si>
  <si>
    <t>11</t>
  </si>
  <si>
    <t>ARI FLEET LEASE TRUST ARIFL_21 Series 14</t>
  </si>
  <si>
    <t>05608T-AA-9</t>
  </si>
  <si>
    <t>CCG RECEIVABLES TRUST CCG_21-1</t>
  </si>
  <si>
    <t>CCG RECEIVABLES TRUST CCG_21-2 Series 14</t>
  </si>
  <si>
    <t>CARVANA AUTO RECEIVABLES TRUST CRVNA_21-</t>
  </si>
  <si>
    <t>24703W-AF-6</t>
  </si>
  <si>
    <t>ENTERPRISE FLEET FINANCING LLC Series 14</t>
  </si>
  <si>
    <t>362554-AE-7</t>
  </si>
  <si>
    <t>36261L-AF-8</t>
  </si>
  <si>
    <t>36265W-AG-8</t>
  </si>
  <si>
    <t>380146-AF-7</t>
  </si>
  <si>
    <t>44891R-AF-7</t>
  </si>
  <si>
    <t>REGATTA XVIII FUNDING LTD REG1 Series 14</t>
  </si>
  <si>
    <t>SBA TOWER TRUST Series 144A</t>
  </si>
  <si>
    <t>TIF FUNDING II LLC TIF_20-1A</t>
  </si>
  <si>
    <t>87407R-AA-4</t>
  </si>
  <si>
    <t>96328G-AH-0</t>
  </si>
  <si>
    <t>APIDOS CLO APID_20-33A</t>
  </si>
  <si>
    <t>12481X-AS-9</t>
  </si>
  <si>
    <t>14316A-AC-1</t>
  </si>
  <si>
    <t>GALAXY CLO LTD GALXY_18-25A Series 144A</t>
  </si>
  <si>
    <t>KAYNE CLO LTD KAYNE_21-10A Series 144A</t>
  </si>
  <si>
    <t>OCTAGON INVESTMENT PARTNERS XX Series 14</t>
  </si>
  <si>
    <t>SIGNAL PEAK CLO LLC SPEAK_14-1 Series 14</t>
  </si>
  <si>
    <t>860444-AN-8</t>
  </si>
  <si>
    <t>STEWART PARK CLO LTD STWRT</t>
  </si>
  <si>
    <t>VENTURE CDO LTD VENTR_21-41A Series 144A</t>
  </si>
  <si>
    <t>VOYA CLO LTD VOYA_14-4A Series 144A</t>
  </si>
  <si>
    <t>1430000000</t>
  </si>
  <si>
    <t>1449999999</t>
  </si>
  <si>
    <t>Total - SVO Identified Funds</t>
  </si>
  <si>
    <t xml:space="preserve">NAIC Designation Modifier F Amount </t>
  </si>
  <si>
    <t>000001F</t>
  </si>
  <si>
    <t>P_2022_A_NAIC_SCDPT2SN1</t>
  </si>
  <si>
    <t xml:space="preserve">Rate Per Share </t>
  </si>
  <si>
    <t xml:space="preserve">Dividends: Declared but Unpaid </t>
  </si>
  <si>
    <t>5310000000</t>
  </si>
  <si>
    <t>Subtotal - Common Stocks - Exchange Traded Funds</t>
  </si>
  <si>
    <t>BANC OF AMERICA SECURITIES LLC</t>
  </si>
  <si>
    <t>BANK OF AMERICA CORP    2.551% 02/04/28</t>
  </si>
  <si>
    <t>BROWN &amp; BROWN INC    2.375% 03/15/31</t>
  </si>
  <si>
    <t>DUKE ENERGY CORP    4.500% 08/15/32</t>
  </si>
  <si>
    <t>FISERV INC    3.500% 07/01/29</t>
  </si>
  <si>
    <t>1100000079</t>
  </si>
  <si>
    <t>1100000086</t>
  </si>
  <si>
    <t>1100000097</t>
  </si>
  <si>
    <t>CREDIT SUISSE FIRST BOSTON COR</t>
  </si>
  <si>
    <t>T-MOBILE USA INC    5.200% 01/15/33</t>
  </si>
  <si>
    <t>WELLS FARGO &amp; COMPANY    4.897% 07/25/33</t>
  </si>
  <si>
    <t>1100000177</t>
  </si>
  <si>
    <t>Total - Common Stocks - Part 5</t>
  </si>
  <si>
    <t>646136-TH-4</t>
  </si>
  <si>
    <t>0900000008</t>
  </si>
  <si>
    <t>AFLAC INC</t>
  </si>
  <si>
    <t>00817Y-AV-0</t>
  </si>
  <si>
    <t>Call      100.5303</t>
  </si>
  <si>
    <t>BROADCOM INC    4.250% 04/15/26</t>
  </si>
  <si>
    <t>Call      104.7993</t>
  </si>
  <si>
    <t>125523-BV-1</t>
  </si>
  <si>
    <t>CIT GROUP INC    5.000% 08/01/23</t>
  </si>
  <si>
    <t>12572Q-AE-5</t>
  </si>
  <si>
    <t>CME GROUP INC CME GROUP INC</t>
  </si>
  <si>
    <t>24422E-UH-0</t>
  </si>
  <si>
    <t>260543-CX-9</t>
  </si>
  <si>
    <t>369550-BL-1</t>
  </si>
  <si>
    <t>GM FINANCIAL SECURITIZED TERM GMCAR_18-4</t>
  </si>
  <si>
    <t>21X2CX66SU2BR6QTAD08</t>
  </si>
  <si>
    <t>HYUNDAI AUTO LEASE SECURITIZAT</t>
  </si>
  <si>
    <t>52532X-AD-7</t>
  </si>
  <si>
    <t>LEVEL 3 FINANCING INC Series 144A</t>
  </si>
  <si>
    <t>OKXQCBALRQBU7RU5WQ22</t>
  </si>
  <si>
    <t>MARKEL CORPORATION</t>
  </si>
  <si>
    <t>NAVISTAR FINANCIAL DEALER NOTE</t>
  </si>
  <si>
    <t>665772-CH-0</t>
  </si>
  <si>
    <t>549300WBLU5NKPX5X472</t>
  </si>
  <si>
    <t>1100000188</t>
  </si>
  <si>
    <t>824348-AV-8</t>
  </si>
  <si>
    <t>1100000195</t>
  </si>
  <si>
    <t>1100000199</t>
  </si>
  <si>
    <t>SOUTHEAST SUPPLY HEADER LLC Series 144A</t>
  </si>
  <si>
    <t>TYSON FOODS INC    3.900% 09/28/23</t>
  </si>
  <si>
    <t>TYSON FOODS INC</t>
  </si>
  <si>
    <t>902494-BJ-1</t>
  </si>
  <si>
    <t>TYSON FOODS INC    4.000% 03/01/26</t>
  </si>
  <si>
    <t>VERIZON OWNER TRUST VZOT_20-A</t>
  </si>
  <si>
    <t>AKER BP ASA Series 144A</t>
  </si>
  <si>
    <t>IHS MARKIT LTD    4.125% 08/01/23</t>
  </si>
  <si>
    <t>1100000268</t>
  </si>
  <si>
    <t>82481L-AC-3</t>
  </si>
  <si>
    <t>91020Q-A#-4</t>
  </si>
  <si>
    <t>1100000279</t>
  </si>
  <si>
    <t>G3469#-AB-3</t>
  </si>
  <si>
    <t>Total - Bonds - Part 4</t>
  </si>
  <si>
    <t>Call      106.1040</t>
  </si>
  <si>
    <t>0599999</t>
  </si>
  <si>
    <t>Subtotal - Preferred Stock - Alien Insurer</t>
  </si>
  <si>
    <t>1100000</t>
  </si>
  <si>
    <t>1399999</t>
  </si>
  <si>
    <t>Subtotal - Common Stock - Other Affiliates</t>
  </si>
  <si>
    <t>P_2022_A_NAIC_SCDPT6SN2</t>
  </si>
  <si>
    <t>SCDPT6SN2</t>
  </si>
  <si>
    <t>Subtotal - Preferred Stock</t>
  </si>
  <si>
    <t>Table</t>
  </si>
  <si>
    <t>ANNUAL STATEMENT FOR THE YEAR 2022 OF THEENACT MORTGAGE INSURANCE CORPORATION</t>
  </si>
  <si>
    <t xml:space="preserve">Interest: Amount Received During Year </t>
  </si>
  <si>
    <t xml:space="preserve">Capital Structure Code </t>
  </si>
  <si>
    <t>FA</t>
  </si>
  <si>
    <t>912828-3D-0</t>
  </si>
  <si>
    <t>FE</t>
  </si>
  <si>
    <t>0430000000</t>
  </si>
  <si>
    <t>0449999999</t>
  </si>
  <si>
    <t>0610000002</t>
  </si>
  <si>
    <t>0610000006</t>
  </si>
  <si>
    <t>797356-DP-4</t>
  </si>
  <si>
    <t>Total - U.S. Political Subdivisions Bonds</t>
  </si>
  <si>
    <t>AL</t>
  </si>
  <si>
    <t>AUBURN UNIVERSITY AUBURN UNIV ALA GEN FE</t>
  </si>
  <si>
    <t>072024-XF-4</t>
  </si>
  <si>
    <t>BAY AREA TOLL AUTH CALIF TOLL</t>
  </si>
  <si>
    <t>072024-XH-0</t>
  </si>
  <si>
    <t>CALIFORNIA ST DEPT WTR RES CEN</t>
  </si>
  <si>
    <t>NEW YORK N Y CITY TRANSITIONAL NEW YORK</t>
  </si>
  <si>
    <t>NEW YORK ST DORM AUTH</t>
  </si>
  <si>
    <t>798153-NJ-7</t>
  </si>
  <si>
    <t>DC</t>
  </si>
  <si>
    <t>F</t>
  </si>
  <si>
    <t>WI</t>
  </si>
  <si>
    <t>97705M-UN-3</t>
  </si>
  <si>
    <t>Subtotal - Bonds - U.S. Special Revenues - Other Loan-Backed and Structured Securities</t>
  </si>
  <si>
    <t>ADVANCE AUTO PARTS INC.</t>
  </si>
  <si>
    <t>AGILENT TECH INC AGILENT TECHNOLOGIES IN</t>
  </si>
  <si>
    <t>01882Y-AA-4</t>
  </si>
  <si>
    <t>R4PP93JZOLY261QX3811</t>
  </si>
  <si>
    <t>03027X-AZ-3</t>
  </si>
  <si>
    <t>AMGEN INC</t>
  </si>
  <si>
    <t>HWUPKR0MPOU8FGXBT394</t>
  </si>
  <si>
    <t>KK5MZM9DIXLXZL9DZL15</t>
  </si>
  <si>
    <t>06406R-BK-2</t>
  </si>
  <si>
    <t>09062X-AF-0</t>
  </si>
  <si>
    <t>BOOZ ALLEN HAMILTON INC</t>
  </si>
  <si>
    <t>3.C FE</t>
  </si>
  <si>
    <t>BOSTON SCIENTIFIC CORP BOSTON SCIENTIFIC</t>
  </si>
  <si>
    <t>BP CAPITAL MARKETS AMERICA INC</t>
  </si>
  <si>
    <t>BROADCOM CORPORATION/BROADCOM</t>
  </si>
  <si>
    <t>BROOKLYN UNION GAS CO</t>
  </si>
  <si>
    <t>5KYC8KF17ROCY24M3H09</t>
  </si>
  <si>
    <t>125581-HA-9</t>
  </si>
  <si>
    <t>CRH AMERICA FINANCE INC</t>
  </si>
  <si>
    <t>5493007JDSMX8Z5Z1902</t>
  </si>
  <si>
    <t>14040H-CJ-2</t>
  </si>
  <si>
    <t>QXZYQNMR4JZ5RIRN4T31</t>
  </si>
  <si>
    <t>21TPXMRRHFKOBHDC8J74</t>
  </si>
  <si>
    <t>153527-AP-1</t>
  </si>
  <si>
    <t>CITIZENS BANK NA/ PROVIDENCE R CITIZENS</t>
  </si>
  <si>
    <t>TM1ZH54SJKLNHFCBFK92</t>
  </si>
  <si>
    <t>2.A</t>
  </si>
  <si>
    <t>COMCAST CORPORATION</t>
  </si>
  <si>
    <t>205887-CB-6</t>
  </si>
  <si>
    <t>COX COMMUNICATIONS INC Series 144A</t>
  </si>
  <si>
    <t>23357*-AR-2</t>
  </si>
  <si>
    <t>DAIMLER FINANCE NORTH AMERICA</t>
  </si>
  <si>
    <t>DELOITTE  LLP</t>
  </si>
  <si>
    <t>291011-BQ-6</t>
  </si>
  <si>
    <t>ENTEGRIS ESCROW CORP Series 144A</t>
  </si>
  <si>
    <t>549300WW4GBTKHBSQY83</t>
  </si>
  <si>
    <t>316773-DG-2</t>
  </si>
  <si>
    <t>FISERV INC</t>
  </si>
  <si>
    <t>MJSD</t>
  </si>
  <si>
    <t>GARTNER INC Series 144A</t>
  </si>
  <si>
    <t>GEORGIA-PACIFIC LLC</t>
  </si>
  <si>
    <t>GRAPHIC PACKAGING INTERNATIONA</t>
  </si>
  <si>
    <t>HARDWOOD FUNDING LLC/NATIONAL</t>
  </si>
  <si>
    <t>HUBBELL INCORPORATED</t>
  </si>
  <si>
    <t>450636-C*-4</t>
  </si>
  <si>
    <t>JERSEY CTL PWR &amp; LT CO</t>
  </si>
  <si>
    <t>LIBERTY UTILITIES FINANCE GP1</t>
  </si>
  <si>
    <t>EFQMQROEDSNBRIP7LE47</t>
  </si>
  <si>
    <t>MPLX LP</t>
  </si>
  <si>
    <t>MAGALLANES INC Series 144A</t>
  </si>
  <si>
    <t>MCDONALDS CORP</t>
  </si>
  <si>
    <t>617446-8Q-5</t>
  </si>
  <si>
    <t>61761J-3R-8</t>
  </si>
  <si>
    <t>MUELLER WATER PRODUCTS INC Series 144A</t>
  </si>
  <si>
    <t>NATIONAL RURAL UTILITIES COOP NATIONAL R</t>
  </si>
  <si>
    <t>19EOSPKL8HML7MY3UE63</t>
  </si>
  <si>
    <t>64952W-DS-9</t>
  </si>
  <si>
    <t>66775V-AB-1</t>
  </si>
  <si>
    <t>5493007DQBDL12FEDK63</t>
  </si>
  <si>
    <t>549300GGJCRSI2TIEJ46</t>
  </si>
  <si>
    <t>ONEOK INC</t>
  </si>
  <si>
    <t>2T3D6M0JSY48PSZI1Q41</t>
  </si>
  <si>
    <t>701094-AS-3</t>
  </si>
  <si>
    <t>PEOPLES GAS LIGHT AND COKE COM THE PEOPL</t>
  </si>
  <si>
    <t>THE PEOPLES GAS LIGHT AND COKE</t>
  </si>
  <si>
    <t>736508-S@-2</t>
  </si>
  <si>
    <t>741503-BC-9</t>
  </si>
  <si>
    <t>743820-AA-0</t>
  </si>
  <si>
    <t>75458J-AA-5</t>
  </si>
  <si>
    <t>7591EP-AT-7</t>
  </si>
  <si>
    <t>7-ELEVEN INC</t>
  </si>
  <si>
    <t>TEXTRON INC</t>
  </si>
  <si>
    <t>902691-C@-1</t>
  </si>
  <si>
    <t>US BANK NATIONAL ASSOCIATION US BANK NA/</t>
  </si>
  <si>
    <t>UNITED PARCEL SERVICE INC</t>
  </si>
  <si>
    <t>91324P-ED-0</t>
  </si>
  <si>
    <t>92203#-AT-5</t>
  </si>
  <si>
    <t>THE VANGUARD GROUP INC</t>
  </si>
  <si>
    <t>92343V-GH-1</t>
  </si>
  <si>
    <t>2S72QS2UO2OESLG6Y829</t>
  </si>
  <si>
    <t>92556V-AD-8</t>
  </si>
  <si>
    <t>064159-TF-3</t>
  </si>
  <si>
    <t>124900-AB-7</t>
  </si>
  <si>
    <t>METHANEX CORPORATION</t>
  </si>
  <si>
    <t>NOVA CHEMICALS CORP</t>
  </si>
  <si>
    <t>67077M-AD-0</t>
  </si>
  <si>
    <t>IRVING OIL LTD</t>
  </si>
  <si>
    <t>C4861*-AR-8</t>
  </si>
  <si>
    <t>ALCOA NEDERLAND HOLDING BV Series 144A</t>
  </si>
  <si>
    <t>TINT358G1SSHR3L3PW36</t>
  </si>
  <si>
    <t>ATRESMEDIA CORPORACION DE MEDI</t>
  </si>
  <si>
    <t>05401A-AJ-0</t>
  </si>
  <si>
    <t>BNP PARIBAS SA Series 144A</t>
  </si>
  <si>
    <t>CK HUTCHISON INTERNATIONAL (17 Series 14</t>
  </si>
  <si>
    <t>494386-AB-1</t>
  </si>
  <si>
    <t>NATIONAL AUSTRALIA BANK LTD (N</t>
  </si>
  <si>
    <t>529900ODI3047E2LIV03</t>
  </si>
  <si>
    <t>VODAFONE GROUP PLC</t>
  </si>
  <si>
    <t>G2242#-AA-1</t>
  </si>
  <si>
    <t>ESSENTRA PLC</t>
  </si>
  <si>
    <t>5493007MOZNA03BVNE96</t>
  </si>
  <si>
    <t>25490086UOUOCN2TQ485</t>
  </si>
  <si>
    <t>Q3793#-AD-5</t>
  </si>
  <si>
    <t>Q3793#-AE-3</t>
  </si>
  <si>
    <t>POWERCO LTD POWERCO LIMITED</t>
  </si>
  <si>
    <t>00115B-AB-3</t>
  </si>
  <si>
    <t>1040000002</t>
  </si>
  <si>
    <t>MON</t>
  </si>
  <si>
    <t>1040000006</t>
  </si>
  <si>
    <t>1040000013</t>
  </si>
  <si>
    <t>AVIS BUDGET RENTAL CAR FUNDING</t>
  </si>
  <si>
    <t>1040000020</t>
  </si>
  <si>
    <t>1040000024</t>
  </si>
  <si>
    <t>12509D-AD-4</t>
  </si>
  <si>
    <t>CCG RECEIVABLES TRUST CCG_20-1 Series 14</t>
  </si>
  <si>
    <t>1040000031</t>
  </si>
  <si>
    <t>14687A-AR-9</t>
  </si>
  <si>
    <t>1040000042</t>
  </si>
  <si>
    <t>GM FINANCIAL SECURITIZED TERM</t>
  </si>
  <si>
    <t>39154T-BM-9</t>
  </si>
  <si>
    <t>HPEFS EQUIPMENT TRUST HPEFS_22 Series 14</t>
  </si>
  <si>
    <t>HIN TIMESHARE TRUST HINTT_20-A</t>
  </si>
  <si>
    <t>40441T-AD-1</t>
  </si>
  <si>
    <t>HGVT_19-AA Series 144A</t>
  </si>
  <si>
    <t>1040000100</t>
  </si>
  <si>
    <t>1040000104</t>
  </si>
  <si>
    <t>JACK IN THE BOX FUNDING LLC JA Series 14</t>
  </si>
  <si>
    <t>MMAF EQUIPMENT FINANCE LLC MMA</t>
  </si>
  <si>
    <t>MVW OWNER TRUST MVWOT_17-1A Series 144A</t>
  </si>
  <si>
    <t>MVW OWNER TRUST MVWOT_19-1A</t>
  </si>
  <si>
    <t>1040000111</t>
  </si>
  <si>
    <t>1040000115</t>
  </si>
  <si>
    <t>MVW OWNER TRUST MVWOT_22-1</t>
  </si>
  <si>
    <t>1040000122</t>
  </si>
  <si>
    <t>60700M-AC-2</t>
  </si>
  <si>
    <t>60700M-AD-0</t>
  </si>
  <si>
    <t>1040000133</t>
  </si>
  <si>
    <t>78403D-AN-0</t>
  </si>
  <si>
    <t>1040000140</t>
  </si>
  <si>
    <t>90782J-AA-1</t>
  </si>
  <si>
    <t>VSE VOI MORTGAGE LLC VSTNA_18- Series 14</t>
  </si>
  <si>
    <t>AIR CANADA</t>
  </si>
  <si>
    <t>CIFC FUNDING LTD CIFC_16-1A Series 144A</t>
  </si>
  <si>
    <t>1040000202</t>
  </si>
  <si>
    <t>1040000206</t>
  </si>
  <si>
    <t>1040000213</t>
  </si>
  <si>
    <t>88315L-AN-8</t>
  </si>
  <si>
    <t>VENTURE CDO LTD VENTR_21-41A</t>
  </si>
  <si>
    <t>1040000220</t>
  </si>
  <si>
    <t>VOYA CLO LTD VOYA_13-1A Series 144A</t>
  </si>
  <si>
    <t>1040000224</t>
  </si>
  <si>
    <t>1220000000</t>
  </si>
  <si>
    <t>1239999999</t>
  </si>
  <si>
    <t>1909999999</t>
  </si>
  <si>
    <t>2010000000</t>
  </si>
  <si>
    <t xml:space="preserve">NAIC Designation Modifier G Amount </t>
  </si>
  <si>
    <t>NAIC Designation 4</t>
  </si>
  <si>
    <t>SCDPT2SN1</t>
  </si>
  <si>
    <t xml:space="preserve">Dividends: Amount Received During Year </t>
  </si>
  <si>
    <t>4310000000</t>
  </si>
  <si>
    <t>Schedule D - Part 2 - Section 2 - Common Stocks Owned</t>
  </si>
  <si>
    <t>5019999999</t>
  </si>
  <si>
    <t>Subtotal - Common Stock - Industrial and Miscellaneous (Unaffiliated) Publicly Traded</t>
  </si>
  <si>
    <t>5329999999</t>
  </si>
  <si>
    <t>5720000000</t>
  </si>
  <si>
    <t>Subtotal - Common Stock - Parent, Subsidiaries and Affiliates Publicly Traded</t>
  </si>
  <si>
    <t>DEUTSCHE BANK SECURITIES INC.</t>
  </si>
  <si>
    <t>TRUIST FINANCIAL CORP    4.123% 06/06/28</t>
  </si>
  <si>
    <t>HSBC HOLDINGS PLC    2.251% 11/22/27</t>
  </si>
  <si>
    <t>Subtotal - Bonds - Industrial and Miscellaneous (Unaffiliated)</t>
  </si>
  <si>
    <t>Subtotal - Bonds - Hybrid Securities</t>
  </si>
  <si>
    <t>Subtotal - Common Stocks - Industrial and Miscellaneous (Unaffiliated) Publicly Traded</t>
  </si>
  <si>
    <t>5989999998</t>
  </si>
  <si>
    <t>Totals</t>
  </si>
  <si>
    <t xml:space="preserve">Total Foreign Exchange Change in Book /Adjusted Carrying Value </t>
  </si>
  <si>
    <t>Call      100.0000</t>
  </si>
  <si>
    <t>0700000001</t>
  </si>
  <si>
    <t>542433-GU-5</t>
  </si>
  <si>
    <t>45506D-WP-6</t>
  </si>
  <si>
    <t>64990F-YZ-1</t>
  </si>
  <si>
    <t>549300QKBENKLBXQ8968</t>
  </si>
  <si>
    <t>549300LO13MQ9HYSTR83</t>
  </si>
  <si>
    <t>071813-CQ-0</t>
  </si>
  <si>
    <t>CCG RECEIVABLES TRUST CCG_19-1</t>
  </si>
  <si>
    <t>LCZ7XYGSLJUHFXXNXD88</t>
  </si>
  <si>
    <t>17275R-BE-1</t>
  </si>
  <si>
    <t>CISCO SYSTEMS INC    2.600% 02/28/23</t>
  </si>
  <si>
    <t>DOLLAR GENERAL CORP DOLLAR GENERAL CORP</t>
  </si>
  <si>
    <t>DRUG ROYALTY III LP 1 DRUGC_18 Series 14</t>
  </si>
  <si>
    <t>278062-AC-8</t>
  </si>
  <si>
    <t>375558-BC-6</t>
  </si>
  <si>
    <t>JACOBS ENGR GRP INC.</t>
  </si>
  <si>
    <t>487836-BS-6</t>
  </si>
  <si>
    <t>651587-AF-4</t>
  </si>
  <si>
    <t>NORTHERN STATES PWR CO</t>
  </si>
  <si>
    <t>765LHXWGK1KXCLTFYQ30</t>
  </si>
  <si>
    <t>717081-EN-9</t>
  </si>
  <si>
    <t>806851-AJ-0</t>
  </si>
  <si>
    <t>89236T-DK-8</t>
  </si>
  <si>
    <t>902494-BG-7</t>
  </si>
  <si>
    <t>VERIZON OWNER TRUST VZOT_18-A</t>
  </si>
  <si>
    <t>95000U-2C-6</t>
  </si>
  <si>
    <t>26835P-AF-7</t>
  </si>
  <si>
    <t>IHS MARKIT LTD    3.625% 05/01/24</t>
  </si>
  <si>
    <t>0300000</t>
  </si>
  <si>
    <t>Subtotal - Preferred Stock - U.S. Life Insurer</t>
  </si>
  <si>
    <t>Schedule D - Part 6 - Section 2</t>
  </si>
  <si>
    <t xml:space="preserve">Stock in Lower Tier Company Owned Indirectly by Insurer on Statement Date: Number of Shares </t>
  </si>
  <si>
    <t>GMIC</t>
  </si>
  <si>
    <t>22A</t>
  </si>
  <si>
    <t xml:space="preserve">SVO Administrative Symbol </t>
  </si>
  <si>
    <t xml:space="preserve">Rate Used to Obtain Fair Value </t>
  </si>
  <si>
    <t xml:space="preserve">State Code </t>
  </si>
  <si>
    <t xml:space="preserve">Issue </t>
  </si>
  <si>
    <t>912828-V9-8</t>
  </si>
  <si>
    <t>0220000000</t>
  </si>
  <si>
    <t>0239999999</t>
  </si>
  <si>
    <t>419792-B9-6</t>
  </si>
  <si>
    <t>MISSISSIPPI ST</t>
  </si>
  <si>
    <t>68583R-DH-2</t>
  </si>
  <si>
    <t>Subtotal - Bonds - U.S. States, Territories and Possessions - Commercial Mortgage-Backed Securities</t>
  </si>
  <si>
    <t>1.G FE</t>
  </si>
  <si>
    <t>ARIZONA BRD REGENTS CTFS PARTN</t>
  </si>
  <si>
    <t>BAY AREA TOLL AUTHORITY</t>
  </si>
  <si>
    <t>CALIFORNIA STATE UNIVERSITY</t>
  </si>
  <si>
    <t>DALLAS TEX WTRWKS &amp; SWR SYS RE DALLAS TE</t>
  </si>
  <si>
    <t>284035-AJ-1</t>
  </si>
  <si>
    <t>NEW YORK ST DORM AUTH DORMITORY AUTHORIT</t>
  </si>
  <si>
    <t>SAN JOSE CALIF FING AUTH LEASE</t>
  </si>
  <si>
    <t>TAMPA-HILLSBOROUGH CNTY FLA EX TAMPA-HIL</t>
  </si>
  <si>
    <t>TEXAS A &amp; M UNIVERSITY TEXAS A &amp; M UNIV</t>
  </si>
  <si>
    <t>0840000000</t>
  </si>
  <si>
    <t>0909999999</t>
  </si>
  <si>
    <t>1010000004</t>
  </si>
  <si>
    <t>3.B FE</t>
  </si>
  <si>
    <t>1010000011</t>
  </si>
  <si>
    <t>AMCOR FINANCE USA INC</t>
  </si>
  <si>
    <t>1010000015</t>
  </si>
  <si>
    <t>1010000022</t>
  </si>
  <si>
    <t>1010000033</t>
  </si>
  <si>
    <t>FRKKVKAIQEF3FCSTPG55</t>
  </si>
  <si>
    <t>1010000040</t>
  </si>
  <si>
    <t>BAXTER INTERNATIONAL INC.</t>
  </si>
  <si>
    <t>BEAM INC</t>
  </si>
  <si>
    <t>549300D7XCH2480XU542</t>
  </si>
  <si>
    <t>BRISTOL-MYERS SQUIBB CO</t>
  </si>
  <si>
    <t>BROADCOM CORP/BROADCOM CAYMAN</t>
  </si>
  <si>
    <t>BUCKEYE PARTNERS</t>
  </si>
  <si>
    <t>12636Y-AC-6</t>
  </si>
  <si>
    <t>12656*-AG-7</t>
  </si>
  <si>
    <t>1.G</t>
  </si>
  <si>
    <t>CAMPBELL SOUP COMPANY</t>
  </si>
  <si>
    <t>CELANESE US HOLDINGS LLC</t>
  </si>
  <si>
    <t>1010000102</t>
  </si>
  <si>
    <t>1010000106</t>
  </si>
  <si>
    <t>CENTRAL HUDSON GAS &amp; ELECTRIC</t>
  </si>
  <si>
    <t>1010000113</t>
  </si>
  <si>
    <t>1010000120</t>
  </si>
  <si>
    <t>CITIZENS BANK NA/ PROVIDENCE R</t>
  </si>
  <si>
    <t>2138004JDDA4ZQUPFW65</t>
  </si>
  <si>
    <t>1010000124</t>
  </si>
  <si>
    <t>1010000131</t>
  </si>
  <si>
    <t>54930012H97VSM0I2R19</t>
  </si>
  <si>
    <t>CYPRESS SEMICONDUCTOR CORP CYPRESS SEMIC</t>
  </si>
  <si>
    <t>CYPRESS SEMICONDUCTOR CORPORAT</t>
  </si>
  <si>
    <t>233851-DW-1</t>
  </si>
  <si>
    <t>EVERSOURCE GAS COMPANY OF MASS</t>
  </si>
  <si>
    <t>34107@-AA-7</t>
  </si>
  <si>
    <t>FOOTBALL CLUB TERM NOTES 2033</t>
  </si>
  <si>
    <t>1010000200</t>
  </si>
  <si>
    <t>34959J-AG-3</t>
  </si>
  <si>
    <t>1010000204</t>
  </si>
  <si>
    <t>1010000211</t>
  </si>
  <si>
    <t>1010000215</t>
  </si>
  <si>
    <t>1010000222</t>
  </si>
  <si>
    <t>410345-AJ-1</t>
  </si>
  <si>
    <t>41242*-BE-1</t>
  </si>
  <si>
    <t>5493007GBY3OBTILCX44</t>
  </si>
  <si>
    <t>INGLES MKTS INC Series 144A</t>
  </si>
  <si>
    <t>1010000240</t>
  </si>
  <si>
    <t>INTERNATIONAL FLAVORS &amp; FRAGRA</t>
  </si>
  <si>
    <t>JPMORGAN CHASE &amp; CO</t>
  </si>
  <si>
    <t>549300X3U061YA2WQ160</t>
  </si>
  <si>
    <t>LABORATORY CORPORATION OF</t>
  </si>
  <si>
    <t>LAMB WESTON HOLDINGS INC Series 144A</t>
  </si>
  <si>
    <t>LIBERTY MUTUAL GROUP INC LIBERTY MUTUAL</t>
  </si>
  <si>
    <t>548661-EG-8</t>
  </si>
  <si>
    <t>3C</t>
  </si>
  <si>
    <t>MIDWEST CONNECTOR CAPITAL COMP Series 14</t>
  </si>
  <si>
    <t>MIDWEST CONNECTOR CAPITAL COMP</t>
  </si>
  <si>
    <t>1010000302</t>
  </si>
  <si>
    <t>609207-AR-6</t>
  </si>
  <si>
    <t>549300DV9GIB88LZ5P30</t>
  </si>
  <si>
    <t>1010000306</t>
  </si>
  <si>
    <t>1010000313</t>
  </si>
  <si>
    <t>NFL VENTURES LP</t>
  </si>
  <si>
    <t>NATIONAL FOOTBALL LEAGUE</t>
  </si>
  <si>
    <t>1010000320</t>
  </si>
  <si>
    <t>1010000324</t>
  </si>
  <si>
    <t>NEW JERSEY RSRCE CORP NEW JERSEY RESOURC</t>
  </si>
  <si>
    <t>1010000331</t>
  </si>
  <si>
    <t>665228-C@-9</t>
  </si>
  <si>
    <t>666807-BM-3</t>
  </si>
  <si>
    <t>NORTHWESTERN MUTUAL GLOBAL FUN Series 14</t>
  </si>
  <si>
    <t>PVH CORP</t>
  </si>
  <si>
    <t>6944PL-2D-0</t>
  </si>
  <si>
    <t>PACIFIC LIFE GLOBAL FUNDING II</t>
  </si>
  <si>
    <t>PILGRIMS PRIDE CORP Series 144A</t>
  </si>
  <si>
    <t>RAYBURN CTRY SEC LLC</t>
  </si>
  <si>
    <t>761152-A*-8</t>
  </si>
  <si>
    <t>PVJRP0EQNV6OGDPZGY95</t>
  </si>
  <si>
    <t>CHARLES SCHWAB CORP CHARLES SCHWAB CORPO</t>
  </si>
  <si>
    <t>1010000400</t>
  </si>
  <si>
    <t>1010000404</t>
  </si>
  <si>
    <t>STARBUCKS CORP STARBUCKS CORPORATION</t>
  </si>
  <si>
    <t>1010000411</t>
  </si>
  <si>
    <t>549300V2JRLO5DIFGE82</t>
  </si>
  <si>
    <t>1010000415</t>
  </si>
  <si>
    <t>3PPKBHUG1HD6BO7RNR87</t>
  </si>
  <si>
    <t>Z2VZBHUMB7PWWJ63I008</t>
  </si>
  <si>
    <t>1010000422</t>
  </si>
  <si>
    <t>549300LMMRSZZCZ8CL11</t>
  </si>
  <si>
    <t>911312-BX-3</t>
  </si>
  <si>
    <t>1010000440</t>
  </si>
  <si>
    <t>913903-AW-0</t>
  </si>
  <si>
    <t>VANGUARD GROUP INC/THE</t>
  </si>
  <si>
    <t>929160-AZ-2</t>
  </si>
  <si>
    <t>F9120#-AA-4</t>
  </si>
  <si>
    <t>01626P-AM-8</t>
  </si>
  <si>
    <t>303901-BK-7</t>
  </si>
  <si>
    <t>METHANEX CORP METHANEX CORPORATION</t>
  </si>
  <si>
    <t>OPEN TEXT CORP Series 144A</t>
  </si>
  <si>
    <t>AIA GROUP LTD Series 144A</t>
  </si>
  <si>
    <t>ZP5ILWVSYE4LJGMMVD57</t>
  </si>
  <si>
    <t>ATRESMEDIA CORPORACION DE MEDI ATRESMEDI</t>
  </si>
  <si>
    <t>05578A-AA-6</t>
  </si>
  <si>
    <t>1010000502</t>
  </si>
  <si>
    <t>1010000506</t>
  </si>
  <si>
    <t>09659W-2T-0</t>
  </si>
  <si>
    <t>1010000513</t>
  </si>
  <si>
    <t>22535W-AH-0</t>
  </si>
  <si>
    <t>1010000520</t>
  </si>
  <si>
    <t>HOMESERVE PLC</t>
  </si>
  <si>
    <t>ING GROEP NV</t>
  </si>
  <si>
    <t>KIMBERLY CLARK DE MEXICO SAB D KIMBERLY-</t>
  </si>
  <si>
    <t>1010000531</t>
  </si>
  <si>
    <t>529900VJ06FIL1CKPY09</t>
  </si>
  <si>
    <t>LLOYDS BANKING GROUP PLC</t>
  </si>
  <si>
    <t>606822-BY-9</t>
  </si>
  <si>
    <t>NVENT FINANCE SARL</t>
  </si>
  <si>
    <t>ROYALTY PHARMA PLC</t>
  </si>
  <si>
    <t>SOCIETE GENERALE Series 144A</t>
  </si>
  <si>
    <t>SOCIETE GENERALE</t>
  </si>
  <si>
    <t>83368R-BH-4</t>
  </si>
  <si>
    <t>85325W-AA-6</t>
  </si>
  <si>
    <t>WESTPAC BANKING CORP</t>
  </si>
  <si>
    <t>Q1297#-AN-8</t>
  </si>
  <si>
    <t>1029999999</t>
  </si>
  <si>
    <t>038779-AB-0</t>
  </si>
  <si>
    <t>1040000017</t>
  </si>
  <si>
    <t>1040000028</t>
  </si>
  <si>
    <t>1040000035</t>
  </si>
  <si>
    <t>CLI FUNDING LLC CLIF_20-1A</t>
  </si>
  <si>
    <t>1040000039</t>
  </si>
  <si>
    <t>CARVANA AUTO RECEIVABLES TRUST</t>
  </si>
  <si>
    <t>165183-BW-3</t>
  </si>
  <si>
    <t>165183-BX-1</t>
  </si>
  <si>
    <t>1040000046</t>
  </si>
  <si>
    <t>233046-AQ-4</t>
  </si>
  <si>
    <t>DOMINOS PIZZA MASTER ISSUER LL Series 14</t>
  </si>
  <si>
    <t>1040000053</t>
  </si>
  <si>
    <t>1040000057</t>
  </si>
  <si>
    <t>1040000060</t>
  </si>
  <si>
    <t>1040000064</t>
  </si>
  <si>
    <t>1040000068</t>
  </si>
  <si>
    <t>1040000071</t>
  </si>
  <si>
    <t>GM FINANCIAL CONSUMER AUTOMOBI</t>
  </si>
  <si>
    <t>1040000075</t>
  </si>
  <si>
    <t>1040000082</t>
  </si>
  <si>
    <t>1040000093</t>
  </si>
  <si>
    <t>43284B-AA-0</t>
  </si>
  <si>
    <t>1040000108</t>
  </si>
  <si>
    <t>MVW OWNER TRUST MVWOT_21-1WA</t>
  </si>
  <si>
    <t>1040000119</t>
  </si>
  <si>
    <t>55400U-AB-9</t>
  </si>
  <si>
    <t>1040000126</t>
  </si>
  <si>
    <t>MMAF EQUIPMENT FINANCE LLC MMA MMAF EQUI</t>
  </si>
  <si>
    <t>1040000137</t>
  </si>
  <si>
    <t>1040000144</t>
  </si>
  <si>
    <t>1040000148</t>
  </si>
  <si>
    <t>1040000151</t>
  </si>
  <si>
    <t>1040000155</t>
  </si>
  <si>
    <t>1040000159</t>
  </si>
  <si>
    <t>872480-AA-6</t>
  </si>
  <si>
    <t>1040000162</t>
  </si>
  <si>
    <t>1040000166</t>
  </si>
  <si>
    <t>1040000173</t>
  </si>
  <si>
    <t>1040000180</t>
  </si>
  <si>
    <t>00908P-AA-5</t>
  </si>
  <si>
    <t>1040000184</t>
  </si>
  <si>
    <t>ARES CLO LTD ARES_18-50A</t>
  </si>
  <si>
    <t>1040000191</t>
  </si>
  <si>
    <t>CAL FUNDING IV LTD CAI_20-1A</t>
  </si>
  <si>
    <t>DRYDEN SENIOR LOAN FUND DRSLF_ Series 14</t>
  </si>
  <si>
    <t>1040000217</t>
  </si>
  <si>
    <t>92918N-AQ-0</t>
  </si>
  <si>
    <t>Subtotal - Bonds - Parent, Subsidiaries and Affiliates - Other Loan-Backed and Structured Securities</t>
  </si>
  <si>
    <t>Subtotal - Bonds - Unaffiliated Certificates of Deposit</t>
  </si>
  <si>
    <t>2439999999</t>
  </si>
  <si>
    <t>4019999999</t>
  </si>
  <si>
    <t>4329999999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</si>
  <si>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</si>
  <si>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</si>
  <si>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</si>
  <si>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</si>
  <si>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Subtotal - Bonds - U.S. Special Revenues</t>
  </si>
  <si>
    <t>1100000003</t>
  </si>
  <si>
    <t>1100000007</t>
  </si>
  <si>
    <t>1100000010</t>
  </si>
  <si>
    <t>1100000014</t>
  </si>
  <si>
    <t>1100000021</t>
  </si>
  <si>
    <t>1100000032</t>
  </si>
  <si>
    <t>COMERICA BANK    5.332% 08/25/33</t>
  </si>
  <si>
    <t>1100000050</t>
  </si>
  <si>
    <t>1100000101</t>
  </si>
  <si>
    <t>1100000105</t>
  </si>
  <si>
    <t>1100000112</t>
  </si>
  <si>
    <t>1100000116</t>
  </si>
  <si>
    <t>PARKER HANNIFIN CORP    4.500% 09/15/29</t>
  </si>
  <si>
    <t>1100000123</t>
  </si>
  <si>
    <t>1100000130</t>
  </si>
  <si>
    <t>1100000141</t>
  </si>
  <si>
    <t>WESTPAC BANKING CORP    4.043% 08/26/27</t>
  </si>
  <si>
    <t>DCC PLC    4.530% 05/21/24</t>
  </si>
  <si>
    <t>4509999997</t>
  </si>
  <si>
    <t>P_2022_A_NAIC_SCDPT4</t>
  </si>
  <si>
    <t>SCDPT4</t>
  </si>
  <si>
    <t xml:space="preserve">Realized Gain (Loss) on Disposal </t>
  </si>
  <si>
    <t xml:space="preserve">Total Gain (Loss) on Disposal </t>
  </si>
  <si>
    <t>Maturity</t>
  </si>
  <si>
    <t>549300YUVD5TEXR6L889</t>
  </si>
  <si>
    <t>00287Y-AX-7</t>
  </si>
  <si>
    <t>APPLE INC    3.000% 02/09/24</t>
  </si>
  <si>
    <t>120568-AY-6</t>
  </si>
  <si>
    <t>125581-GR-3</t>
  </si>
  <si>
    <t>12652V-AE-7</t>
  </si>
  <si>
    <t>14313F-AF-6</t>
  </si>
  <si>
    <t>165183-BV-5</t>
  </si>
  <si>
    <t>CONOCOPHILLIPS Series 144A</t>
  </si>
  <si>
    <t>Call      101.5239</t>
  </si>
  <si>
    <t>36259K-AG-2</t>
  </si>
  <si>
    <t>HPEFS EQUIPMENT TRUST HPEFS_20</t>
  </si>
  <si>
    <t>JPMORGAN CHASE &amp; CO    2.700% 05/18/23</t>
  </si>
  <si>
    <t>JACOBS ENGINEERING GROUP INC.</t>
  </si>
  <si>
    <t>LONOZNOJYIBXOHXWDB86</t>
  </si>
  <si>
    <t>539830-BH-1</t>
  </si>
  <si>
    <t>549300SCNO12JLWIK605</t>
  </si>
  <si>
    <t>573874-AL-8</t>
  </si>
  <si>
    <t>581557-BE-4</t>
  </si>
  <si>
    <t>MEDTRONIC INC    3.500% 03/15/25</t>
  </si>
  <si>
    <t>MORGAN STANLEY    3.125% 01/23/23</t>
  </si>
  <si>
    <t>61945C-AF-0</t>
  </si>
  <si>
    <t>PIONEER NAT RES CO PIONEER NATURAL RESOU</t>
  </si>
  <si>
    <t>PIONEER NAT RES CO</t>
  </si>
  <si>
    <t>529900IKZG65COT1D505</t>
  </si>
  <si>
    <t>1100000203</t>
  </si>
  <si>
    <t>STIFEL NICOLAUS AND CO INC</t>
  </si>
  <si>
    <t>1100000207</t>
  </si>
  <si>
    <t>1100000210</t>
  </si>
  <si>
    <t>1100000214</t>
  </si>
  <si>
    <t>1100000221</t>
  </si>
  <si>
    <t>UNILEVER CAPITAL CORP    2.600% 05/05/24</t>
  </si>
  <si>
    <t>1100000232</t>
  </si>
  <si>
    <t>AKER BP ASA</t>
  </si>
  <si>
    <t>22535W-AG-2</t>
  </si>
  <si>
    <t>Enstar Group ENSTAR GROUP LTD</t>
  </si>
  <si>
    <t>37254B-AB-6</t>
  </si>
  <si>
    <t>62947Q-AZ-1</t>
  </si>
  <si>
    <t>NXP BV AND NXP FUNDING LLC Series 144A</t>
  </si>
  <si>
    <t>UNITED ENERGY DISTRIBUTION PTY</t>
  </si>
  <si>
    <t>Call      103.4690</t>
  </si>
  <si>
    <t>78409V-AX-2</t>
  </si>
  <si>
    <t>913903-AV-2</t>
  </si>
  <si>
    <t>UNIVERSAL HEALTH SERVICES INC Series 144</t>
  </si>
  <si>
    <t>1299999</t>
  </si>
  <si>
    <t>Subtotal - Common Stock - Alien Insurer</t>
  </si>
  <si>
    <t>1600000</t>
  </si>
  <si>
    <t>1899999</t>
  </si>
  <si>
    <t>Total amount of goodwill nonadmitted $...</t>
  </si>
  <si>
    <t xml:space="preserve">Book/Adjusted Carrying Value </t>
  </si>
  <si>
    <t xml:space="preserve">Unrealized Valuation Increase/(Decrease) </t>
  </si>
  <si>
    <t xml:space="preserve">Interest: When Paid </t>
  </si>
  <si>
    <t xml:space="preserve">Stated Contractual Maturity Date </t>
  </si>
  <si>
    <t>0010000004</t>
  </si>
  <si>
    <t>0010000011</t>
  </si>
  <si>
    <t>0010000015</t>
  </si>
  <si>
    <t>0029999999</t>
  </si>
  <si>
    <t>Subtotal - Bonds - U.S. Governments - Residential Mortgage-Backed Securities</t>
  </si>
  <si>
    <t>Total - All Other Government Bonds</t>
  </si>
  <si>
    <t>MASSACHUSETTS ST MASSACHUSETTS ST</t>
  </si>
  <si>
    <t>0410000003</t>
  </si>
  <si>
    <t>68583R-DG-4</t>
  </si>
  <si>
    <t>0410000007</t>
  </si>
  <si>
    <t>0410000010</t>
  </si>
  <si>
    <t>70914P-ME-9</t>
  </si>
  <si>
    <t>LOS ANGELES CALIF CMNTY COLLEG</t>
  </si>
  <si>
    <t>692020-VW-7</t>
  </si>
  <si>
    <t>692020-VX-5</t>
  </si>
  <si>
    <t>692020-VY-3</t>
  </si>
  <si>
    <t>POWAY CALIF UNI SCH DIST MUNI BND GO</t>
  </si>
  <si>
    <t>0630000000</t>
  </si>
  <si>
    <t>0649999999</t>
  </si>
  <si>
    <t>Subtotal - Bonds - U.S. Political Subdivisions - Other Loan-Backed and Structured Securities</t>
  </si>
  <si>
    <t>ALABAMA FED AID HWY FIN AUTH S</t>
  </si>
  <si>
    <t>0810000002</t>
  </si>
  <si>
    <t>010268-CU-2</t>
  </si>
  <si>
    <t>010268-CV-0</t>
  </si>
  <si>
    <t>01026C-AC-5</t>
  </si>
  <si>
    <t>0810000006</t>
  </si>
  <si>
    <t>0810000013</t>
  </si>
  <si>
    <t>0810000020</t>
  </si>
  <si>
    <t>0810000024</t>
  </si>
  <si>
    <t>20281P-LY-6</t>
  </si>
  <si>
    <t>DUKE UNIVERSITY HLTH SYS</t>
  </si>
  <si>
    <t>0810000031</t>
  </si>
  <si>
    <t>EL SEGUNDO CALIF PENSION OBLIG</t>
  </si>
  <si>
    <t>IL</t>
  </si>
  <si>
    <t>PORT MORROW ORE</t>
  </si>
  <si>
    <t>1.F FE</t>
  </si>
  <si>
    <t>WISCONSIN ST</t>
  </si>
  <si>
    <t>Total - U.S. Special Revenues Bonds</t>
  </si>
  <si>
    <t>1010000008</t>
  </si>
  <si>
    <t>ALLIANT ENERGY FINANCE LLC Series 144A</t>
  </si>
  <si>
    <t>Series 144A</t>
  </si>
  <si>
    <t>3</t>
  </si>
  <si>
    <t>1010000019</t>
  </si>
  <si>
    <t>5493006ORUSIL88JOE18</t>
  </si>
  <si>
    <t>2.C FE</t>
  </si>
  <si>
    <t>1010000026</t>
  </si>
  <si>
    <t>03740L-AD-4</t>
  </si>
  <si>
    <t>04317@-BJ-6</t>
  </si>
  <si>
    <t>1010000037</t>
  </si>
  <si>
    <t>1010000044</t>
  </si>
  <si>
    <t>9DJT3UXIJIZJI4WXO774</t>
  </si>
  <si>
    <t>1010000048</t>
  </si>
  <si>
    <t>06051G-JK-6</t>
  </si>
  <si>
    <t>1010000051</t>
  </si>
  <si>
    <t>J5OIVXX3P24RJRW5CK77</t>
  </si>
  <si>
    <t>1010000055</t>
  </si>
  <si>
    <t>1010000059</t>
  </si>
  <si>
    <t>BIOGEN INC</t>
  </si>
  <si>
    <t>1010000062</t>
  </si>
  <si>
    <t>BOARDWALK PIPELINES LP</t>
  </si>
  <si>
    <t>1010000066</t>
  </si>
  <si>
    <t>BROADCOM CORPORATION/BROADCOM BROADCOM C</t>
  </si>
  <si>
    <t>1010000073</t>
  </si>
  <si>
    <t>1010000080</t>
  </si>
  <si>
    <t>CIGNA CORP</t>
  </si>
  <si>
    <t>1010000084</t>
  </si>
  <si>
    <t>549300EJG376EN5NQE29</t>
  </si>
  <si>
    <t>1010000091</t>
  </si>
  <si>
    <t>14149Y-BH-0</t>
  </si>
  <si>
    <t>14913Q-2V-0</t>
  </si>
  <si>
    <t>CENTRAL GARDEN &amp; PET CO</t>
  </si>
  <si>
    <t>166764-BX-7</t>
  </si>
  <si>
    <t>CITIGROUP INC</t>
  </si>
  <si>
    <t>1010000117</t>
  </si>
  <si>
    <t>CITIBANK NA</t>
  </si>
  <si>
    <t>1010000128</t>
  </si>
  <si>
    <t>1010000135</t>
  </si>
  <si>
    <t>1010000139</t>
  </si>
  <si>
    <t>1010000142</t>
  </si>
  <si>
    <t>3.A FE</t>
  </si>
  <si>
    <t>1010000146</t>
  </si>
  <si>
    <t>23345M-AC-1</t>
  </si>
  <si>
    <t>DAIMLER FINANCE NORTH AMERICA Series 144</t>
  </si>
  <si>
    <t>1010000153</t>
  </si>
  <si>
    <t>549300R22LSX6OHWEN64</t>
  </si>
  <si>
    <t>1010000157</t>
  </si>
  <si>
    <t>1010000160</t>
  </si>
  <si>
    <t>DOLLAR GENERAL CORP</t>
  </si>
  <si>
    <t>DOLLAR GENERAL CORPORATION</t>
  </si>
  <si>
    <t>1010000164</t>
  </si>
  <si>
    <t>Z</t>
  </si>
  <si>
    <t>1010000171</t>
  </si>
  <si>
    <t>1010000175</t>
  </si>
  <si>
    <t>29278N-AP-8</t>
  </si>
  <si>
    <t>29364D-AU-4</t>
  </si>
  <si>
    <t>1010000182</t>
  </si>
  <si>
    <t>1010000193</t>
  </si>
  <si>
    <t>FOOTBALL CLUB TERM NOTES 2020-</t>
  </si>
  <si>
    <t>FORD MOTOR CREDIT COMPANY LLC</t>
  </si>
  <si>
    <t>1010000208</t>
  </si>
  <si>
    <t>GENERAL MOTORS FINANCIAL CO IN</t>
  </si>
  <si>
    <t>GILEAD SCIENCES INC</t>
  </si>
  <si>
    <t>549300WTZWR07K8MNV44</t>
  </si>
  <si>
    <t>1010000219</t>
  </si>
  <si>
    <t>38937L-AC-5</t>
  </si>
  <si>
    <t>GROUP 1 AUTO INC</t>
  </si>
  <si>
    <t>GUARDIAN LIFE GLOBAL FUNDING</t>
  </si>
  <si>
    <t>404119-CE-7</t>
  </si>
  <si>
    <t>L3CJ6J7LJ2DX62FTXD46</t>
  </si>
  <si>
    <t>41242*-BA-9</t>
  </si>
  <si>
    <t>1010000226</t>
  </si>
  <si>
    <t>1010000233</t>
  </si>
  <si>
    <t>1010000237</t>
  </si>
  <si>
    <t>1010000244</t>
  </si>
  <si>
    <t>466313-AM-5</t>
  </si>
  <si>
    <t>1010000248</t>
  </si>
  <si>
    <t>1010000251</t>
  </si>
  <si>
    <t>46647P-DH-6</t>
  </si>
  <si>
    <t>JRD HOLDINGS LLC</t>
  </si>
  <si>
    <t>1010000255</t>
  </si>
  <si>
    <t>48121@-AN-1</t>
  </si>
  <si>
    <t>1010000259</t>
  </si>
  <si>
    <t>1010000262</t>
  </si>
  <si>
    <t>1010000266</t>
  </si>
  <si>
    <t>524660-AX-5</t>
  </si>
  <si>
    <t>1010000273</t>
  </si>
  <si>
    <t>548661-DX-2</t>
  </si>
  <si>
    <t>M&amp;T BANK CORPORATION M&amp;T BANK CORPORATIO</t>
  </si>
  <si>
    <t>55336V-AA-8</t>
  </si>
  <si>
    <t>1010000280</t>
  </si>
  <si>
    <t>1010000284</t>
  </si>
  <si>
    <t>R6ZXK5P01NP6HXSY1S07</t>
  </si>
  <si>
    <t>57629W-CQ-1</t>
  </si>
  <si>
    <t>MCDONALDS CORP MCDONALDS CORPORATION</t>
  </si>
  <si>
    <t>1010000291</t>
  </si>
  <si>
    <t>MICROSOFT CORP</t>
  </si>
  <si>
    <t>MORGAN STANLEY</t>
  </si>
  <si>
    <t>IGJSJL3JD5P30I6NJZ34</t>
  </si>
  <si>
    <t>61747Y-EH-4</t>
  </si>
  <si>
    <t>62927#-AK-2</t>
  </si>
  <si>
    <t>62927@-AB-4</t>
  </si>
  <si>
    <t>1010000317</t>
  </si>
  <si>
    <t>NEW JERSEY RSRCE CORP</t>
  </si>
  <si>
    <t>646025-F*-2</t>
  </si>
  <si>
    <t>2.A Z</t>
  </si>
  <si>
    <t>1010000328</t>
  </si>
  <si>
    <t>1010000335</t>
  </si>
  <si>
    <t>1010000339</t>
  </si>
  <si>
    <t>67103H-AE-7</t>
  </si>
  <si>
    <t>1010000342</t>
  </si>
  <si>
    <t>OMNICOM GRP INC.</t>
  </si>
  <si>
    <t>1010000346</t>
  </si>
  <si>
    <t>CFGNEKW0P8842LEUIA51</t>
  </si>
  <si>
    <t>PNC FINANCIAL SERVICES GROUP</t>
  </si>
  <si>
    <t>1010000353</t>
  </si>
  <si>
    <t>1010000357</t>
  </si>
  <si>
    <t>PILGRIMS PRIDE CORP</t>
  </si>
  <si>
    <t>1010000360</t>
  </si>
  <si>
    <t>1010000364</t>
  </si>
  <si>
    <t>74151#-AM-0</t>
  </si>
  <si>
    <t>1010000371</t>
  </si>
  <si>
    <t>75524K-NH-3</t>
  </si>
  <si>
    <t>1010000375</t>
  </si>
  <si>
    <t>549300LJXD867XMVE759</t>
  </si>
  <si>
    <t>1010000382</t>
  </si>
  <si>
    <t>549300K23JPL0SS3LB18</t>
  </si>
  <si>
    <t>832248-BD-9</t>
  </si>
  <si>
    <t>JM SMUCKER CO J M SMUCKER CO</t>
  </si>
  <si>
    <t>1010000408</t>
  </si>
  <si>
    <t>SUTTER HEALTH</t>
  </si>
  <si>
    <t>3M CO</t>
  </si>
  <si>
    <t>1010000419</t>
  </si>
  <si>
    <t>1010000426</t>
  </si>
  <si>
    <t>6BYL5QZYBDK8S7L73M02</t>
  </si>
  <si>
    <t>MYF1DAS6G5WY7PRWCU78</t>
  </si>
  <si>
    <t>1010000433</t>
  </si>
  <si>
    <t>1010000437</t>
  </si>
  <si>
    <t>UNITEDHEALTH GROUP INC</t>
  </si>
  <si>
    <t>5493002789CX3L0CJP65</t>
  </si>
  <si>
    <t>1010000444</t>
  </si>
  <si>
    <t>1010000448</t>
  </si>
  <si>
    <t>549300BUDHS3LRWBE814</t>
  </si>
  <si>
    <t>1010000451</t>
  </si>
  <si>
    <t>1010000455</t>
  </si>
  <si>
    <t>1010000462</t>
  </si>
  <si>
    <t>970648-AF-8</t>
  </si>
  <si>
    <t>1010000466</t>
  </si>
  <si>
    <t>98956P-AF-9</t>
  </si>
  <si>
    <t>2P2YLDVPES3BXQ1FRB91</t>
  </si>
  <si>
    <t>1010000473</t>
  </si>
  <si>
    <t>CCL INDS INC Series 144A</t>
  </si>
  <si>
    <t>13805Q-A*-3</t>
  </si>
  <si>
    <t>1010000480</t>
  </si>
  <si>
    <t>GLS7OQD0WOEDI8YAP031</t>
  </si>
  <si>
    <t>METHANEX CORP</t>
  </si>
  <si>
    <t>1010000484</t>
  </si>
  <si>
    <t>549300HP7ONDQODZJV16</t>
  </si>
  <si>
    <t>OPEN TEXT CORP</t>
  </si>
  <si>
    <t>1010000491</t>
  </si>
  <si>
    <t>BNP PARIBAS SA</t>
  </si>
  <si>
    <t>05964H-AN-5</t>
  </si>
  <si>
    <t>09659W-2R-4</t>
  </si>
  <si>
    <t>1010000517</t>
  </si>
  <si>
    <t>969500TJ5KRTCJQWXH05</t>
  </si>
  <si>
    <t>0YQH6LCEF474UTUV4B96</t>
  </si>
  <si>
    <t>213800EKBJTGNMXEDF11</t>
  </si>
  <si>
    <t>1010000524</t>
  </si>
  <si>
    <t>1010000528</t>
  </si>
  <si>
    <t>1010000535</t>
  </si>
  <si>
    <t>1010000539</t>
  </si>
  <si>
    <t>1010000542</t>
  </si>
  <si>
    <t>1010000546</t>
  </si>
  <si>
    <t>1010000553</t>
  </si>
  <si>
    <t>1010000557</t>
  </si>
  <si>
    <t>1010000560</t>
  </si>
  <si>
    <t>U4LOSYZ7YG4W3S5F2G91</t>
  </si>
  <si>
    <t>1010000564</t>
  </si>
  <si>
    <t>1010000571</t>
  </si>
  <si>
    <t>1010000575</t>
  </si>
  <si>
    <t>1010000582</t>
  </si>
  <si>
    <t>OMEGA LEASING NO 9 LTD</t>
  </si>
  <si>
    <t>G8781@-AB-5</t>
  </si>
  <si>
    <t>G8781@-AC-3</t>
  </si>
  <si>
    <t>BEACON CONTAINER FINANCE LLC I</t>
  </si>
  <si>
    <t>12511J-AB-1</t>
  </si>
  <si>
    <t>CCG RECEIVABLES TRUST CCG_22-1 Series 14</t>
  </si>
  <si>
    <t>CNH EQUIPMENT TRUST CNH_19-A</t>
  </si>
  <si>
    <t>14317D-AF-7</t>
  </si>
  <si>
    <t>CHESAPEAKE FUNDING II LLC CFII Series 14</t>
  </si>
  <si>
    <t>25755T-AN-0</t>
  </si>
  <si>
    <t>1040000079</t>
  </si>
  <si>
    <t>1040000086</t>
  </si>
  <si>
    <t>40439H-AA-7</t>
  </si>
  <si>
    <t>40439H-AB-5</t>
  </si>
  <si>
    <t>1040000097</t>
  </si>
  <si>
    <t>HYUNDAI AUTO RECEIVABLES TRUST HYUNDAI A</t>
  </si>
  <si>
    <t>HYUNDAI AUTO RECEIVABLES TRUST</t>
  </si>
  <si>
    <t>MVW OWNER TRUST MVWOT_22-2 Series 144A</t>
  </si>
  <si>
    <t>NP SPE II LLC NPRL_17-1A Series 144A</t>
  </si>
  <si>
    <t>7</t>
  </si>
  <si>
    <t>82650T-AA-5</t>
  </si>
  <si>
    <t>82650T-AB-3</t>
  </si>
  <si>
    <t>SONIC CAPITAL LLC SONIC_20-1A Series 144</t>
  </si>
  <si>
    <t>SONIC CAPITAL LLC SONIC_21-1A</t>
  </si>
  <si>
    <t>TIF FUNDING II LLC TIF_21-1A Series 144A</t>
  </si>
  <si>
    <t>TOYOTA AUTO LOAN EXTENDED NOTE Series 14</t>
  </si>
  <si>
    <t>1040000177</t>
  </si>
  <si>
    <t>AIR CANADA 2015-1 CLASS A PASS</t>
  </si>
  <si>
    <t>ARES CLO LTD ARES_18-50A Series 144A</t>
  </si>
  <si>
    <t>1040000188</t>
  </si>
  <si>
    <t>12481Q-AC-9</t>
  </si>
  <si>
    <t>12510T-AC-8</t>
  </si>
  <si>
    <t>14314H-AS-3</t>
  </si>
  <si>
    <t>1040000195</t>
  </si>
  <si>
    <t>1040000199</t>
  </si>
  <si>
    <t>GALAXY CLO LTD GALXY_15-20A Series 144A</t>
  </si>
  <si>
    <t>KAYNE CLO KAYNE_21-11A</t>
  </si>
  <si>
    <t>LCM LTD PARTNERSHIP LCM_25A Series 144A</t>
  </si>
  <si>
    <t>92332T-AD-4</t>
  </si>
  <si>
    <t>92917C-AG-7</t>
  </si>
  <si>
    <t>1420000000</t>
  </si>
  <si>
    <t>1439999999</t>
  </si>
  <si>
    <t>Total - Parent, Subsidiaries and Affiliates Bonds</t>
  </si>
  <si>
    <t>Subtotal - Bonds - Unaffiliated Bank Loans</t>
  </si>
  <si>
    <t>2489999999</t>
  </si>
  <si>
    <t>SCDPT1F</t>
  </si>
  <si>
    <t>000001C</t>
  </si>
  <si>
    <t xml:space="preserve">Rate Per Share Used to Obtain Fair Value </t>
  </si>
  <si>
    <t>Subtotal - Preferred Stock - Parent, Subsidiaries and Affiliates Redeemable Preferred</t>
  </si>
  <si>
    <t>5529999999</t>
  </si>
  <si>
    <t>Subtotal - Common Stocks - Unit Investment Trusts - Designations Not Assigned by the SVO</t>
  </si>
  <si>
    <t xml:space="preserve">Name of Vendor </t>
  </si>
  <si>
    <t xml:space="preserve">Paid for Accrued Interest and Dividends </t>
  </si>
  <si>
    <t>0900000001</t>
  </si>
  <si>
    <t>Suntrust Banks Inc</t>
  </si>
  <si>
    <t>1100000018</t>
  </si>
  <si>
    <t>Various</t>
  </si>
  <si>
    <t>1100000025</t>
  </si>
  <si>
    <t>1100000029</t>
  </si>
  <si>
    <t>1100000036</t>
  </si>
  <si>
    <t>1100000043</t>
  </si>
  <si>
    <t>1100000047</t>
  </si>
  <si>
    <t>1100000054</t>
  </si>
  <si>
    <t>1100000058</t>
  </si>
  <si>
    <t>1100000061</t>
  </si>
  <si>
    <t>1100000065</t>
  </si>
  <si>
    <t>1100000072</t>
  </si>
  <si>
    <t>1100000076</t>
  </si>
  <si>
    <t>1100000083</t>
  </si>
  <si>
    <t>1100000090</t>
  </si>
  <si>
    <t>JPMORGAN CHASE &amp; CO    4.912% 07/25/33</t>
  </si>
  <si>
    <t>MPLX LP    4.950% 09/01/32</t>
  </si>
  <si>
    <t>1100000109</t>
  </si>
  <si>
    <t>NSTAR GAS CO    4.400% 08/01/32</t>
  </si>
  <si>
    <t>1100000127</t>
  </si>
  <si>
    <t>1100000134</t>
  </si>
  <si>
    <t>1100000138</t>
  </si>
  <si>
    <t>1100000145</t>
  </si>
  <si>
    <t>1100000149</t>
  </si>
  <si>
    <t>1100000152</t>
  </si>
  <si>
    <t>ICHTHYS LNG PTY LTD    4.250% 12/15/29</t>
  </si>
  <si>
    <t>1100000156</t>
  </si>
  <si>
    <t>1100000163</t>
  </si>
  <si>
    <t>NVENT FINANCE SARL    2.750% 11/15/31</t>
  </si>
  <si>
    <t>1100000167</t>
  </si>
  <si>
    <t>1100000170</t>
  </si>
  <si>
    <t>1100000174</t>
  </si>
  <si>
    <t>Subtotal - Bonds - Parent, Subsidiaries and Affiliates</t>
  </si>
  <si>
    <t>Subtotal - Preferred Stocks - Parent, Subsidiaries and Affiliates Redeemable Preferred</t>
  </si>
  <si>
    <t>5920000000</t>
  </si>
  <si>
    <t>Total - Preferred and Common Stocks</t>
  </si>
  <si>
    <t>6009999999</t>
  </si>
  <si>
    <t>912828-2P-4</t>
  </si>
  <si>
    <t>BERMUDA BERMUDA (GOVERNMENT)</t>
  </si>
  <si>
    <t>PENNSYLVANIA ST    4.650% 02/15/26</t>
  </si>
  <si>
    <t>485429-Y5-7</t>
  </si>
  <si>
    <t>0900000005</t>
  </si>
  <si>
    <t>AFLAC INC AFLAC INCORPORATED</t>
  </si>
  <si>
    <t>AFLAC INCORPORATED</t>
  </si>
  <si>
    <t>AETNA INC    2.800% 06/15/23</t>
  </si>
  <si>
    <t>BAXTER INTERNATIONAL INC. Series 144A</t>
  </si>
  <si>
    <t>549300LRIF3NWCU26A80</t>
  </si>
  <si>
    <t>COTERRA ENERGY INC Series 144A</t>
  </si>
  <si>
    <t>CISCO SYSTEMS INC</t>
  </si>
  <si>
    <t>21036P-AL-2</t>
  </si>
  <si>
    <t>DUKE ENERGY CORP    3.750% 04/15/24</t>
  </si>
  <si>
    <t>549300LYE2HSVYJFJD24</t>
  </si>
  <si>
    <t>277432-AR-1</t>
  </si>
  <si>
    <t>2TGYMUGI08PO8X8L6150</t>
  </si>
  <si>
    <t>40438F-AE-4</t>
  </si>
  <si>
    <t>549300CZ8QS1GE53O776</t>
  </si>
  <si>
    <t>KELLOGG COMPANY    2.650% 12/01/23</t>
  </si>
  <si>
    <t>MARKEL CORP MARKEL CORPORATION</t>
  </si>
  <si>
    <t>59833C-AB-8</t>
  </si>
  <si>
    <t>1100000181</t>
  </si>
  <si>
    <t>749685-AS-2</t>
  </si>
  <si>
    <t>1100000192</t>
  </si>
  <si>
    <t>SOUTHEAST SUPPLY HEADER LLC</t>
  </si>
  <si>
    <t>ZI85ER3E6RXD4HPHW309</t>
  </si>
  <si>
    <t>1100000218</t>
  </si>
  <si>
    <t>1100000225</t>
  </si>
  <si>
    <t>91324P-CN-0</t>
  </si>
  <si>
    <t>91324P-DJ-8</t>
  </si>
  <si>
    <t>1100000229</t>
  </si>
  <si>
    <t>92348T-AD-6</t>
  </si>
  <si>
    <t>1100000236</t>
  </si>
  <si>
    <t>1100000243</t>
  </si>
  <si>
    <t>1100000247</t>
  </si>
  <si>
    <t>1100000250</t>
  </si>
  <si>
    <t>1100000254</t>
  </si>
  <si>
    <t>29359U-AA-7</t>
  </si>
  <si>
    <t>ENSTAR GROUP LTD</t>
  </si>
  <si>
    <t>44962L-AC-1</t>
  </si>
  <si>
    <t>1100000258</t>
  </si>
  <si>
    <t>1100000261</t>
  </si>
  <si>
    <t>1100000265</t>
  </si>
  <si>
    <t>OAK HILL CREDIT PARTNERS OAKC_</t>
  </si>
  <si>
    <t>1100000272</t>
  </si>
  <si>
    <t>1100000276</t>
  </si>
  <si>
    <t>RRPF ENGINE LEASING LIMITED</t>
  </si>
  <si>
    <t>1100000283</t>
  </si>
  <si>
    <t>78409V-AU-8</t>
  </si>
  <si>
    <t>78409V-AV-6</t>
  </si>
  <si>
    <t xml:space="preserve">NAIC Valuation Method </t>
  </si>
  <si>
    <t xml:space="preserve">Stock of Such Company Owned by Insurer on Statement Date: Number of Shares </t>
  </si>
  <si>
    <t xml:space="preserve">Prior Year VISION Filing Number </t>
  </si>
  <si>
    <t>0499999</t>
  </si>
  <si>
    <t>0800000</t>
  </si>
  <si>
    <t>Subtotal - Preferred Stock - Other Affiliates</t>
  </si>
  <si>
    <t>1000000</t>
  </si>
  <si>
    <t>Subtotal - Common Stock - U.S. P&amp;C Insurer</t>
  </si>
  <si>
    <t>SCDPT6SN1F</t>
  </si>
  <si>
    <t xml:space="preserve">Amount </t>
  </si>
  <si>
    <t xml:space="preserve">Name of Lower-tier Company </t>
  </si>
  <si>
    <t>Statement</t>
  </si>
  <si>
    <t xml:space="preserve">Investments Involving Related Parties </t>
  </si>
  <si>
    <t>912828-M5-6</t>
  </si>
  <si>
    <t>0010000008</t>
  </si>
  <si>
    <t>Subtotal - Bonds - U.S. Governments - Commercial Mortgage-Backed Securities</t>
  </si>
  <si>
    <t>Total - U.S. Government Bonds</t>
  </si>
  <si>
    <t>C</t>
  </si>
  <si>
    <t>OR</t>
  </si>
  <si>
    <t>0420000000</t>
  </si>
  <si>
    <t>0439999999</t>
  </si>
  <si>
    <t>692020-VV-9</t>
  </si>
  <si>
    <t>ALASKA MUN BD BK ALASKA MUN BD</t>
  </si>
  <si>
    <t>1.E FE</t>
  </si>
  <si>
    <t>050589-QY-9</t>
  </si>
  <si>
    <t>0810000017</t>
  </si>
  <si>
    <t>0810000028</t>
  </si>
  <si>
    <t>0810000035</t>
  </si>
  <si>
    <t>546475-TW-4</t>
  </si>
  <si>
    <t>LOUISIANA ST GAS &amp; FUELS TAX R</t>
  </si>
  <si>
    <t>0810000039</t>
  </si>
  <si>
    <t>0810000042</t>
  </si>
  <si>
    <t>0810000046</t>
  </si>
  <si>
    <t>73474T-AP-5</t>
  </si>
  <si>
    <t>0810000053</t>
  </si>
  <si>
    <t>0810000057</t>
  </si>
  <si>
    <t>875301-HP-1</t>
  </si>
  <si>
    <t>0810000060</t>
  </si>
  <si>
    <t>0810000064</t>
  </si>
  <si>
    <t>0810000071</t>
  </si>
  <si>
    <t>FR5LCKFTG8054YNNRU85</t>
  </si>
  <si>
    <t>00287Y-BV-0</t>
  </si>
  <si>
    <t>2.B FE</t>
  </si>
  <si>
    <t>AGILENT TECHNOLOGIES INC</t>
  </si>
  <si>
    <t>04685A-2N-0</t>
  </si>
  <si>
    <t>05329W-AN-2</t>
  </si>
  <si>
    <t>073730-AG-8</t>
  </si>
  <si>
    <t>EWRDABCN7XBHM37LIA98</t>
  </si>
  <si>
    <t>BLACKSTONE HOLDINGS FINANCE CO</t>
  </si>
  <si>
    <t>115236-AC-5</t>
  </si>
  <si>
    <t>1010000077</t>
  </si>
  <si>
    <t>BUCKEYE PARTNERS BUCKEYE PARTNERS LP</t>
  </si>
  <si>
    <t>120568-BC-3</t>
  </si>
  <si>
    <t>CSLB HOLDINGS INC CSLB HOLDINGS INC</t>
  </si>
  <si>
    <t>1010000088</t>
  </si>
  <si>
    <t>1010000095</t>
  </si>
  <si>
    <t>1010000099</t>
  </si>
  <si>
    <t>CENTENE CORPORATION</t>
  </si>
  <si>
    <t>15135B-AY-7</t>
  </si>
  <si>
    <t>CHEVRON USA INC. CHEVRON USA INC</t>
  </si>
  <si>
    <t>LJOF0JWZSCIUPEC3LQ45</t>
  </si>
  <si>
    <t>16829@-AF-0</t>
  </si>
  <si>
    <t>6SHGI4ZSSLCXXQSBB395</t>
  </si>
  <si>
    <t>70WY0ID1N53Q4254VH70</t>
  </si>
  <si>
    <t>CONOCOPHILLIPS</t>
  </si>
  <si>
    <t>212015-AN-1</t>
  </si>
  <si>
    <t>SUNAMERICA INC Series 144A</t>
  </si>
  <si>
    <t>224044-CL-9</t>
  </si>
  <si>
    <t>CROWN CASTLE INTERNATIONAL COR CROWN CAS</t>
  </si>
  <si>
    <t>23345M-AA-5</t>
  </si>
  <si>
    <t>DOLLAR GENERAL CORP DOLLAR GENERAL CORPO</t>
  </si>
  <si>
    <t>DOLLAR TREE INC</t>
  </si>
  <si>
    <t>1010000168</t>
  </si>
  <si>
    <t>EATON CORPORATION</t>
  </si>
  <si>
    <t>1010000179</t>
  </si>
  <si>
    <t>29736R-AN-0</t>
  </si>
  <si>
    <t>EVERSOURCE GAS COMPANY OF MASS EVERSOURC</t>
  </si>
  <si>
    <t>31620M-BW-5</t>
  </si>
  <si>
    <t>1010000186</t>
  </si>
  <si>
    <t>FIFTH THIRD BANK (OHIO)</t>
  </si>
  <si>
    <t>337738-AT-5</t>
  </si>
  <si>
    <t>FLORIDA GAS TRANSMISSION Series 144A</t>
  </si>
  <si>
    <t>1010000197</t>
  </si>
  <si>
    <t>549300MU9YQJYHDQEF63</t>
  </si>
  <si>
    <t>366651-AG-2</t>
  </si>
  <si>
    <t>5493007Q8VD7Q3ZYZS59</t>
  </si>
  <si>
    <t>398905-AN-9</t>
  </si>
  <si>
    <t>HUBBELL INC HUBBELL INCORPORATED</t>
  </si>
  <si>
    <t>INGREDION INC</t>
  </si>
  <si>
    <t>458140-BQ-2</t>
  </si>
  <si>
    <t>INTEL CORPORATION</t>
  </si>
  <si>
    <t>549300W9UGH9ZPLNPF79</t>
  </si>
  <si>
    <t>254900OFQDXZRKRCV808</t>
  </si>
  <si>
    <t>49338L-AB-9</t>
  </si>
  <si>
    <t>LOWES COMPANIES INC</t>
  </si>
  <si>
    <t>1010000277</t>
  </si>
  <si>
    <t>55903V-AJ-2</t>
  </si>
  <si>
    <t>MARSH &amp; MCLENNAN CO INC</t>
  </si>
  <si>
    <t>1010000288</t>
  </si>
  <si>
    <t>1010000295</t>
  </si>
  <si>
    <t>1010000299</t>
  </si>
  <si>
    <t>MOLSON COORS BREWING CO</t>
  </si>
  <si>
    <t>626738-AF-5</t>
  </si>
  <si>
    <t>N32S6DTR2ZZ5222WHV58</t>
  </si>
  <si>
    <t>MURPHY OIL USA INC</t>
  </si>
  <si>
    <t>NEW YORK LIFE GLOBAL FUNDING</t>
  </si>
  <si>
    <t>665228-K@-0</t>
  </si>
  <si>
    <t>682680-AX-1</t>
  </si>
  <si>
    <t>69353R-EQ-7</t>
  </si>
  <si>
    <t>529900K900DW6SUBM174</t>
  </si>
  <si>
    <t>PINNACLE WEST CAP CORP</t>
  </si>
  <si>
    <t>PROVIDENCE ST JOSEPH HEALTH</t>
  </si>
  <si>
    <t>1010000368</t>
  </si>
  <si>
    <t>SYBSJ96YIDMIUY7WDR33</t>
  </si>
  <si>
    <t>1010000379</t>
  </si>
  <si>
    <t>1010000386</t>
  </si>
  <si>
    <t>SCE RECOVERY FUNDING LLC</t>
  </si>
  <si>
    <t>549300KJYBG7C6WJYZ11</t>
  </si>
  <si>
    <t>80282K-BC-9</t>
  </si>
  <si>
    <t>1010000393</t>
  </si>
  <si>
    <t>1010000397</t>
  </si>
  <si>
    <t>854502-AK-7</t>
  </si>
  <si>
    <t>883203-CB-5</t>
  </si>
  <si>
    <t>THERMO FISHER SCIENTIFIC INC THERMO FISH</t>
  </si>
  <si>
    <t>904764-BG-1</t>
  </si>
  <si>
    <t>549300JEB576INN13W07</t>
  </si>
  <si>
    <t>1010000459</t>
  </si>
  <si>
    <t>98478*-AY-3</t>
  </si>
  <si>
    <t>ZIMMER HOLDINGS INC</t>
  </si>
  <si>
    <t>ALGOMA CENTRAL CORP ALGOMA CENTRAL CORPO</t>
  </si>
  <si>
    <t>CCL INDS INC</t>
  </si>
  <si>
    <t>1010000477</t>
  </si>
  <si>
    <t>59151K-AK-4</t>
  </si>
  <si>
    <t>549300TSJHRXT9QXRD13</t>
  </si>
  <si>
    <t>59151K-AM-0</t>
  </si>
  <si>
    <t>1010000488</t>
  </si>
  <si>
    <t>HZSN7FQBPO5IEWYIGC72</t>
  </si>
  <si>
    <t>1010000495</t>
  </si>
  <si>
    <t>1010000499</t>
  </si>
  <si>
    <t>314890-AC-8</t>
  </si>
  <si>
    <t>ING GROEP NV Series 144A</t>
  </si>
  <si>
    <t>75625Q-AD-1</t>
  </si>
  <si>
    <t>529900BD50TRWEG1SF63</t>
  </si>
  <si>
    <t>83368R-AV-4</t>
  </si>
  <si>
    <t>853254-CG-3</t>
  </si>
  <si>
    <t>STANDARD CHARTERED PLC Series 144A</t>
  </si>
  <si>
    <t>86562M-CN-8</t>
  </si>
  <si>
    <t>1010000568</t>
  </si>
  <si>
    <t>87656X-B@-9</t>
  </si>
  <si>
    <t>EN5TNI6CI43VEPAMHL14</t>
  </si>
  <si>
    <t>984851-AG-0</t>
  </si>
  <si>
    <t>HOFER FINANCIAL SERVICES GMBH</t>
  </si>
  <si>
    <t>1010000579</t>
  </si>
  <si>
    <t>DCC PLC</t>
  </si>
  <si>
    <t>1010000586</t>
  </si>
  <si>
    <t>Q2600@-AA-8</t>
  </si>
  <si>
    <t>COATES GROUP PTY LTD</t>
  </si>
  <si>
    <t>EVOLUTION MINING FINANCE PTY L</t>
  </si>
  <si>
    <t>1010000593</t>
  </si>
  <si>
    <t>Q82780-QW-2</t>
  </si>
  <si>
    <t>SANTOS FINANCE LTD.</t>
  </si>
  <si>
    <t>05606X-AA-2</t>
  </si>
  <si>
    <t>CCG RECEIVABLES TRUST CCG_21-2</t>
  </si>
  <si>
    <t>DB MASTER FINANCE LLC DNKN_21- Series 14</t>
  </si>
  <si>
    <t>24703W-AE-9</t>
  </si>
  <si>
    <t>DELL EQUIPMENT FINANCE TRUST D</t>
  </si>
  <si>
    <t>26209X-AC-5</t>
  </si>
  <si>
    <t>29374J-AC-9</t>
  </si>
  <si>
    <t>GM FINANCIAL REVOLVING RECEIVA</t>
  </si>
  <si>
    <t>39154T-BF-4</t>
  </si>
  <si>
    <t>39154T-BT-4</t>
  </si>
  <si>
    <t>43283G-AB-8</t>
  </si>
  <si>
    <t>43285H-AA-6</t>
  </si>
  <si>
    <t>JACK IN THE BOX FUNDING LLC JA</t>
  </si>
  <si>
    <t>MVW OWNER TRUST MVWOT_17-1A</t>
  </si>
  <si>
    <t>68504U-AB-7</t>
  </si>
  <si>
    <t>82652R-AB-5</t>
  </si>
  <si>
    <t>82652R-AC-3</t>
  </si>
  <si>
    <t>SIERRA RECEIVABLES FUNDING COM SIERRA RE</t>
  </si>
  <si>
    <t>82653D-AB-5</t>
  </si>
  <si>
    <t>SONIC CAPITAL LLC SONIC_20-1A</t>
  </si>
  <si>
    <t>98162Y-AF-0</t>
  </si>
  <si>
    <t>EVERGREEN CREDIT CARD TRUST EV Series 14</t>
  </si>
  <si>
    <t>CAL FUNDING IV LTD CAI_20-1A Series 144A</t>
  </si>
  <si>
    <t>GOLDENTREE LOAN OPPORTUNITIES</t>
  </si>
  <si>
    <t>LCM LTD PARTNERSHIP LCM_25A</t>
  </si>
  <si>
    <t>OCTAGON INVESTMENT PARTNERS XX</t>
  </si>
  <si>
    <t>88315L-AG-3</t>
  </si>
  <si>
    <t>Subtotal - Bonds - Industrial and Miscellaneous (Unaffiliated) - Other Loan-Backed and Structured Securities</t>
  </si>
  <si>
    <t>1210000000</t>
  </si>
  <si>
    <t>1229999999</t>
  </si>
  <si>
    <t>2019999999</t>
  </si>
  <si>
    <t>NAIC Designation 1</t>
  </si>
  <si>
    <t>Total - Preferred Stock - Industrial and Miscellaneous (Unaffiliated)</t>
  </si>
  <si>
    <t>Subtotal - Preferred Stock - Parent, Subsidiaries and Affiliates Perpetual Preferred</t>
  </si>
  <si>
    <t>P_2022_A_NAIC_SCDPT2SN2</t>
  </si>
  <si>
    <t xml:space="preserve">Total Change in Book/Adjusted Carrying Value (13 - 14) </t>
  </si>
  <si>
    <t>5319999999</t>
  </si>
  <si>
    <t>Total - Common Stocks - Unit Investment Trusts</t>
  </si>
  <si>
    <t>5710000000</t>
  </si>
  <si>
    <t>Total Common Stocks</t>
  </si>
  <si>
    <t>SCDPT2SN2F</t>
  </si>
  <si>
    <t>CITIGROUP GLOBAL MARKETS</t>
  </si>
  <si>
    <t>STONECASTLE SECURITIES LLC</t>
  </si>
  <si>
    <t>FIFTH THIRD BANCORP    4.772% 07/28/30</t>
  </si>
  <si>
    <t>1100000069</t>
  </si>
  <si>
    <t>1100000087</t>
  </si>
  <si>
    <t>1100000094</t>
  </si>
  <si>
    <t>1100000098</t>
  </si>
  <si>
    <t>CANPOTEX    3.610% 01/08/25</t>
  </si>
  <si>
    <t>SEAPORT GROUP</t>
  </si>
  <si>
    <t>1100000178</t>
  </si>
  <si>
    <t>2509999997</t>
  </si>
  <si>
    <t>Total - Bonds - Part 5</t>
  </si>
  <si>
    <t>912828-XW-5</t>
  </si>
  <si>
    <t>BERMUDA</t>
  </si>
  <si>
    <t>RAYMOND JAMES &amp; ASSOC</t>
  </si>
  <si>
    <t>NEW JERSEY ST TRANSN TR FD AUT</t>
  </si>
  <si>
    <t>001055-AM-4</t>
  </si>
  <si>
    <t>008117-AP-8</t>
  </si>
  <si>
    <t>BCC FUNDING CORP BCCFC_20-1 Series 144A</t>
  </si>
  <si>
    <t>Call      104.2600</t>
  </si>
  <si>
    <t>120568-BA-7</t>
  </si>
  <si>
    <t>BUNGE LTD FINANCE CORP</t>
  </si>
  <si>
    <t>CIGNA CORP    3.000% 07/15/23</t>
  </si>
  <si>
    <t>CARMAX AUTO OWNER TRUST CARMX_ CARMX_18-</t>
  </si>
  <si>
    <t>U.S. Bancorp Piper Jaffray</t>
  </si>
  <si>
    <t>165183-CA-0</t>
  </si>
  <si>
    <t>177376-AF-7</t>
  </si>
  <si>
    <t>CITRIX SYST INC</t>
  </si>
  <si>
    <t>18469P-B*-0</t>
  </si>
  <si>
    <t>DRUG ROYALTY III LP 1 DRUGC_18</t>
  </si>
  <si>
    <t>40438D-AD-1</t>
  </si>
  <si>
    <t>Call      101.0274</t>
  </si>
  <si>
    <t>D56MRZY2INAN94ZONZ37</t>
  </si>
  <si>
    <t>NAVISTAR FINANCIAL DEALER NOTE Series 14</t>
  </si>
  <si>
    <t>PEOPLES NATURAL GAS COMPANY LL</t>
  </si>
  <si>
    <t>BOOKING HOLDINGS INC    2.750% 03/15/23</t>
  </si>
  <si>
    <t>1100000185</t>
  </si>
  <si>
    <t>1100000189</t>
  </si>
  <si>
    <t>1100000196</t>
  </si>
  <si>
    <t>WDJNR2L6D8RWOEB8T652</t>
  </si>
  <si>
    <t>B0I35MLPFXZSE70ASS73</t>
  </si>
  <si>
    <t>TIMKEN CO</t>
  </si>
  <si>
    <t>94973V-AX-5</t>
  </si>
  <si>
    <t>576339-CH-6</t>
  </si>
  <si>
    <t>1100000269</t>
  </si>
  <si>
    <t>SHIRE ACQUISITIONS INVESTMENTS SHIRE ACQ</t>
  </si>
  <si>
    <t>G7332#-AF-0</t>
  </si>
  <si>
    <t xml:space="preserve">Total Change in Book/Adjusted Carrying Value (12 + 13 - 14) </t>
  </si>
  <si>
    <t xml:space="preserve">Total Amount of Goodwill Included in Book/Adjusted Carrying Value </t>
  </si>
  <si>
    <t xml:space="preserve">Nonadmitted Amount </t>
  </si>
  <si>
    <t>0200000</t>
  </si>
  <si>
    <t>1700001</t>
  </si>
  <si>
    <t xml:space="preserve">Actual Cost </t>
  </si>
  <si>
    <t xml:space="preserve">Call Date </t>
  </si>
  <si>
    <t>0210000000</t>
  </si>
  <si>
    <t>0229999999</t>
  </si>
  <si>
    <t>HAWAII ST</t>
  </si>
  <si>
    <t>605581-NG-8</t>
  </si>
  <si>
    <t>OREGON EDU DISTS FULL FAITH OREGON ED DI</t>
  </si>
  <si>
    <t>1.D FE</t>
  </si>
  <si>
    <t>Subtotal - Bonds - U.S. States, Territories and Possessions - Residential Mortgage-Backed Securities</t>
  </si>
  <si>
    <t>NY</t>
  </si>
  <si>
    <t>0610000003</t>
  </si>
  <si>
    <t>0610000007</t>
  </si>
  <si>
    <t>0610000010</t>
  </si>
  <si>
    <t>G</t>
  </si>
  <si>
    <t>ALASKA MUN BD BK AUTH ALASKA MUN BD BK A</t>
  </si>
  <si>
    <t>04048P-LT-5</t>
  </si>
  <si>
    <t>050589-RD-4</t>
  </si>
  <si>
    <t>072024-XK-3</t>
  </si>
  <si>
    <t>CALIFORNIA ST DEPT WTR RES CALIFORNIA ST</t>
  </si>
  <si>
    <t>CALIFORNIA ST DEPT WTR RES</t>
  </si>
  <si>
    <t>13077D-QL-9</t>
  </si>
  <si>
    <t>13077D-QM-7</t>
  </si>
  <si>
    <t>MUNI BND REV</t>
  </si>
  <si>
    <t>DORMITORY AUTHORITY OF STATE O</t>
  </si>
  <si>
    <t>0810000068</t>
  </si>
  <si>
    <t>0830000000</t>
  </si>
  <si>
    <t>0849999999</t>
  </si>
  <si>
    <t>00287Y-AQ-2</t>
  </si>
  <si>
    <t>CHUBB INA HOLDINGS INC</t>
  </si>
  <si>
    <t>00751Y-AF-3</t>
  </si>
  <si>
    <t>AMERICAN EXPRESS COMPANY</t>
  </si>
  <si>
    <t>B6Q2VFHD1797Q7NZ3E43</t>
  </si>
  <si>
    <t>HPFHU0OQ28E4N0NFVK49</t>
  </si>
  <si>
    <t>549300WV6GIDOZJTV909</t>
  </si>
  <si>
    <t>124857-AR-4</t>
  </si>
  <si>
    <t>549300YX2GSZD7YG1R84</t>
  </si>
  <si>
    <t>14040H-CN-3</t>
  </si>
  <si>
    <t>15135B-AX-9</t>
  </si>
  <si>
    <t>2.B</t>
  </si>
  <si>
    <t>172967-NG-2</t>
  </si>
  <si>
    <t>CONAGRA FOODS INC</t>
  </si>
  <si>
    <t>549300T2071OM26ZSE13</t>
  </si>
  <si>
    <t>CYPRESS SEMICONDUCTOR CORP</t>
  </si>
  <si>
    <t>DT MIDSTREAM INC 144A - Pvt Hghly Mktble</t>
  </si>
  <si>
    <t>24422E-UE-7</t>
  </si>
  <si>
    <t>DELL INTERNATIONAL LLC/EMC COR</t>
  </si>
  <si>
    <t>549300PMSTQITB1WHR43</t>
  </si>
  <si>
    <t>BC95Y6MXLT75BGO7UM71</t>
  </si>
  <si>
    <t>EAST OHIO GAS CO Series 144A</t>
  </si>
  <si>
    <t>278062-AH-7</t>
  </si>
  <si>
    <t>EMERSON ELECTRIC CO</t>
  </si>
  <si>
    <t>29365B-AA-1</t>
  </si>
  <si>
    <t>THRNG6BD57P9QWTQLG42</t>
  </si>
  <si>
    <t>34502*-AA-0</t>
  </si>
  <si>
    <t>36257@-AA-0</t>
  </si>
  <si>
    <t>GSW ARENA HOLDINGS LLC</t>
  </si>
  <si>
    <t>GARTNER INC</t>
  </si>
  <si>
    <t>5493008B6JBRUJ90QL97</t>
  </si>
  <si>
    <t>37045X-DP-8</t>
  </si>
  <si>
    <t>HARMAN INTL IND, INC</t>
  </si>
  <si>
    <t>HEWLETT PACKARD ENTERPRISE CO</t>
  </si>
  <si>
    <t>457030-AK-0</t>
  </si>
  <si>
    <t>INTEL CORP</t>
  </si>
  <si>
    <t>45866F-AD-6</t>
  </si>
  <si>
    <t>INTERNATIONAL BUSINESS MACHINE INTERNATI</t>
  </si>
  <si>
    <t>46647P-BF-2</t>
  </si>
  <si>
    <t>46647P-BT-2</t>
  </si>
  <si>
    <t>KBR INC Series 144A</t>
  </si>
  <si>
    <t>KEY BANK USA NA</t>
  </si>
  <si>
    <t>KEYSPAN GAS EAST CORP Series 144A</t>
  </si>
  <si>
    <t>KEYSPAN GAS EAST CORP</t>
  </si>
  <si>
    <t>50540R-AT-9</t>
  </si>
  <si>
    <t>LINCOLN NATIONAL CORP</t>
  </si>
  <si>
    <t>MASTERCARD INC</t>
  </si>
  <si>
    <t>60871R-AG-5</t>
  </si>
  <si>
    <t>NATIONAL BASKETBALL ASSOCIATIO</t>
  </si>
  <si>
    <t>64952W-DL-4</t>
  </si>
  <si>
    <t>NUCOR CORP NUCOR CORPORATION</t>
  </si>
  <si>
    <t>73019#-AC-6</t>
  </si>
  <si>
    <t>744573-AN-6</t>
  </si>
  <si>
    <t>REGENERON PHARMACEUTICALS INC.</t>
  </si>
  <si>
    <t>RELIANCE STANDARD LIFE GLOBAL Series 144</t>
  </si>
  <si>
    <t>ZXJ6Y2OSPZXIVGRILD15</t>
  </si>
  <si>
    <t>4YV9Y5M8S0BRK1RP0397</t>
  </si>
  <si>
    <t>SERVICE CORPORATION INTERNATIO</t>
  </si>
  <si>
    <t>SIRIUS XM RADIO INC Series 144A</t>
  </si>
  <si>
    <t>SPIRE INC</t>
  </si>
  <si>
    <t>STARBUCKS CORP</t>
  </si>
  <si>
    <t>STARBUCKS CORPORATION</t>
  </si>
  <si>
    <t>5493002F0SC4JTBU5137</t>
  </si>
  <si>
    <t>95000U-2H-5</t>
  </si>
  <si>
    <t>WILLIS NORTH AMERICA INC</t>
  </si>
  <si>
    <t>549300FGW43XR75F1O70</t>
  </si>
  <si>
    <t>ALGOMA CENTRAL CORPORATION</t>
  </si>
  <si>
    <t>064159-QE-9</t>
  </si>
  <si>
    <t>ANZ BANK NEW ZEALAND LTD Series 144A</t>
  </si>
  <si>
    <t>AERCAP IRELAND CAPITAL LTD / A</t>
  </si>
  <si>
    <t>95980020140005491929</t>
  </si>
  <si>
    <t>067316-AE-9</t>
  </si>
  <si>
    <t>184494-A*-3</t>
  </si>
  <si>
    <t>EQUINOR ASA</t>
  </si>
  <si>
    <t>549300APVP4R32PI3Y06</t>
  </si>
  <si>
    <t>448414-AE-2</t>
  </si>
  <si>
    <t>60687Y-CM-9</t>
  </si>
  <si>
    <t>63254A-BE-7</t>
  </si>
  <si>
    <t>COOPERATIEVE RABOBANK UA Series 144A</t>
  </si>
  <si>
    <t>SUMITOMO MITSUI FIN GRP INC SUMITOMO MIT</t>
  </si>
  <si>
    <t>TAKEDA PHARMACEUTICAL CO LTD</t>
  </si>
  <si>
    <t>902613-AK-4</t>
  </si>
  <si>
    <t>GIP CAPRICORN FINCO PTY LTD</t>
  </si>
  <si>
    <t>1019999999</t>
  </si>
  <si>
    <t>1040000003</t>
  </si>
  <si>
    <t>1040000007</t>
  </si>
  <si>
    <t>1040000010</t>
  </si>
  <si>
    <t>03236X-AC-1</t>
  </si>
  <si>
    <t>05377R-CV-4</t>
  </si>
  <si>
    <t>1040000014</t>
  </si>
  <si>
    <t>1040000021</t>
  </si>
  <si>
    <t>1040000025</t>
  </si>
  <si>
    <t>CCG RECEIVABLES TRUST CCG_19-2</t>
  </si>
  <si>
    <t>1040000032</t>
  </si>
  <si>
    <t>CLI FUNDING VI LLC CLIF_20-3A</t>
  </si>
  <si>
    <t>1040000050</t>
  </si>
  <si>
    <t>26209X-AA-9</t>
  </si>
  <si>
    <t>DRIVEN BRANDS FUNDING LLC HONK Series 14</t>
  </si>
  <si>
    <t>34528L-AH-8</t>
  </si>
  <si>
    <t>34532J-AC-8</t>
  </si>
  <si>
    <t>GBX LEASING GBXL_22-1 Series 144A</t>
  </si>
  <si>
    <t>36258N-AF-9</t>
  </si>
  <si>
    <t>39154T-BS-6</t>
  </si>
  <si>
    <t>403951-AD-8</t>
  </si>
  <si>
    <t>403951-AE-6</t>
  </si>
  <si>
    <t>1040000101</t>
  </si>
  <si>
    <t>1040000105</t>
  </si>
  <si>
    <t>55317R-AD-4</t>
  </si>
  <si>
    <t>1040000112</t>
  </si>
  <si>
    <t>MVW OWNER TRUST MVWOT_19-2A Series 144A</t>
  </si>
  <si>
    <t>1040000116</t>
  </si>
  <si>
    <t>MVW OWNER TRUST MVWOT_21-2A</t>
  </si>
  <si>
    <t>55400K-AC-9</t>
  </si>
  <si>
    <t>MVW OWNER TRUST MVWOT_22-2</t>
  </si>
  <si>
    <t>1040000123</t>
  </si>
  <si>
    <t>1040000130</t>
  </si>
  <si>
    <t>OXFORD FINANCE FUNDING TRUST O Series 14</t>
  </si>
  <si>
    <t>OXFORD FINANCE FUNDING TRUST O</t>
  </si>
  <si>
    <t>78403D-AR-1</t>
  </si>
  <si>
    <t>1040000141</t>
  </si>
  <si>
    <t>82653D-AA-7</t>
  </si>
  <si>
    <t>SONIC CAPITAL LLC SONIC_21-1A Series 144</t>
  </si>
  <si>
    <t>TAL ADVANTAGE LLC TAL_20-1A Series 144A</t>
  </si>
  <si>
    <t>UNITED AIRLINES 2019-2 CLASS A</t>
  </si>
  <si>
    <t>WENDYS FUNDING LLC WEN_21-1A Series 144A</t>
  </si>
  <si>
    <t>WORLD OMNI AUTO RECEIVABLES TR WORLD OMN</t>
  </si>
  <si>
    <t>009090-AA-9</t>
  </si>
  <si>
    <t>12548M-BF-1</t>
  </si>
  <si>
    <t>1040000203</t>
  </si>
  <si>
    <t>38137H-BU-1</t>
  </si>
  <si>
    <t>549300ZH5R2TCUAYC824</t>
  </si>
  <si>
    <t>1040000207</t>
  </si>
  <si>
    <t>50189P-AL-6</t>
  </si>
  <si>
    <t>1040000210</t>
  </si>
  <si>
    <t>1040000214</t>
  </si>
  <si>
    <t>STEWART PARK CLO LTD STWRT Series 144A</t>
  </si>
  <si>
    <t>TEXTAINER MARINE CONTAINERS VI</t>
  </si>
  <si>
    <t>1040000221</t>
  </si>
  <si>
    <t>VOYA CLO LTD VOYA_20-3A</t>
  </si>
  <si>
    <t>Subtotal - Bonds - Hybrid Securities - Issuer Obligations</t>
  </si>
  <si>
    <t>Subtotal - Bonds - Hybrid Securities - Commercial Mortgage-Backed Securities</t>
  </si>
  <si>
    <t>2429999999</t>
  </si>
  <si>
    <t>NAIC Designation 5</t>
  </si>
  <si>
    <t xml:space="preserve">Par Value Per Share </t>
  </si>
  <si>
    <t>4319999999</t>
  </si>
  <si>
    <t>SCDPT2SN2</t>
  </si>
  <si>
    <t>5109999999</t>
  </si>
  <si>
    <t>5729999999</t>
  </si>
  <si>
    <t>Total - Common Stocks - Closed-End Funds</t>
  </si>
  <si>
    <t>5810000000</t>
  </si>
  <si>
    <t>Subtotal - Common Stock - Parent, Subsidiaries and Affiliates Other</t>
  </si>
  <si>
    <t>5989999999</t>
  </si>
  <si>
    <t>ALBEMARLE CORP    4.650% 06/01/27</t>
  </si>
  <si>
    <t>GOLDMAN SACHS &amp; CO</t>
  </si>
  <si>
    <t>BMO NESBITT BURNS</t>
  </si>
  <si>
    <t>COTERRA ENERGY INC    3.900% 05/15/27</t>
  </si>
  <si>
    <t>EMERSON ELECTRIC CO    2.000% 12/21/28</t>
  </si>
  <si>
    <t>KEURIG DR PEPPER INC    3.950% 04/15/29</t>
  </si>
  <si>
    <t>WESTPAC BANKING CORP    5.405% 08/10/33</t>
  </si>
  <si>
    <t>085209-AB-0</t>
  </si>
  <si>
    <t>549300FP5PUZXX9FVJ40</t>
  </si>
  <si>
    <t>0700000002</t>
  </si>
  <si>
    <t>AMERICAN EXPRESS COMPANY AMERICAN EXPRES</t>
  </si>
  <si>
    <t>ARROW ELECTRONICS INC    3.250% 09/08/24</t>
  </si>
  <si>
    <t>12509K-AC-0</t>
  </si>
  <si>
    <t>CCG RECEIVABLES TRUST CCG_18-2 Series 14</t>
  </si>
  <si>
    <t>CARDINAL HEALTH INC    3.079% 06/15/24</t>
  </si>
  <si>
    <t>CITRIX SYSTEMS INC</t>
  </si>
  <si>
    <t>GENERAL MILLS INC</t>
  </si>
  <si>
    <t>HPEFS EQUIPMENT TRUST HPEFS_20 Series 14</t>
  </si>
  <si>
    <t>MVW OWNER TRUST MVWOT_16-1A</t>
  </si>
  <si>
    <t>570535-AK-0</t>
  </si>
  <si>
    <t>571748-BA-9</t>
  </si>
  <si>
    <t>TD AMERITRADE HLDG CORP TD AMERITRADE HO</t>
  </si>
  <si>
    <t>91324P-BZ-4</t>
  </si>
  <si>
    <t>91913Y-AU-4</t>
  </si>
  <si>
    <t>ANTHEM INC</t>
  </si>
  <si>
    <t>97786#-AJ-1</t>
  </si>
  <si>
    <t>01609W-AS-1</t>
  </si>
  <si>
    <t>EDP FINANCE BV Series 144A</t>
  </si>
  <si>
    <t>64990F-T5-3</t>
  </si>
  <si>
    <t>Subtotal - Preferred Stock - Parent</t>
  </si>
  <si>
    <t>0999999</t>
  </si>
  <si>
    <t>1199999</t>
  </si>
  <si>
    <t>1500000</t>
  </si>
  <si>
    <t>1799999</t>
  </si>
  <si>
    <t>Company</t>
  </si>
  <si>
    <t>Identifier</t>
  </si>
  <si>
    <t>P_2022_A_NAIC_SCDPT1</t>
  </si>
  <si>
    <t>SCDPT1</t>
  </si>
  <si>
    <t xml:space="preserve">Par Value </t>
  </si>
  <si>
    <t xml:space="preserve">Interest: Effective Rate of </t>
  </si>
  <si>
    <t xml:space="preserve">Fair Value Hierarchy Level and Method Used to Obtain Fair Value Code </t>
  </si>
  <si>
    <t xml:space="preserve">Effective Date of Maturity </t>
  </si>
  <si>
    <t>O</t>
  </si>
  <si>
    <t>912828-VB-3</t>
  </si>
  <si>
    <t>0019999999</t>
  </si>
  <si>
    <t>1.C FE</t>
  </si>
  <si>
    <t>MA</t>
  </si>
  <si>
    <t>OREGON ED DISTS FULL FAITH &amp; C</t>
  </si>
  <si>
    <t>LOS ANGELES CALIF CMNTY COLLEG LOS ANGEL</t>
  </si>
  <si>
    <t>549300ABYZD2SFD5JB29</t>
  </si>
  <si>
    <t>OXNARD CALIF SCH DIST MUNI BND GO</t>
  </si>
  <si>
    <t>797356-DN-9</t>
  </si>
  <si>
    <t>0620000000</t>
  </si>
  <si>
    <t>0639999999</t>
  </si>
  <si>
    <t>ALABAMA FEDERAL AID HIGHWAY FI ALABAMA F</t>
  </si>
  <si>
    <t>040654-XW-0</t>
  </si>
  <si>
    <t>050589-RB-8</t>
  </si>
  <si>
    <t>050589-RC-6</t>
  </si>
  <si>
    <t>26443C-AG-8</t>
  </si>
  <si>
    <t>41422E-KR-3</t>
  </si>
  <si>
    <t>LOUISIANA (STATE OF) LOUISIANA ST GAS &amp;</t>
  </si>
  <si>
    <t>54930039Y2EMGXN6LM88</t>
  </si>
  <si>
    <t>SEATTLE CHILDREN'S HOSPITAL SEATTLE CHIL</t>
  </si>
  <si>
    <t>SMITHSONIAN INSTITUTION</t>
  </si>
  <si>
    <t>91412H-JT-1</t>
  </si>
  <si>
    <t>UNIVERSITY CALIF REVS</t>
  </si>
  <si>
    <t>UT</t>
  </si>
  <si>
    <t>WISCONSIN ST WISCONSIN ST</t>
  </si>
  <si>
    <t>1010000001</t>
  </si>
  <si>
    <t>ABBVIE INC</t>
  </si>
  <si>
    <t>2.A FE</t>
  </si>
  <si>
    <t>1010000005</t>
  </si>
  <si>
    <t>QUIX8Y7A2WP0XRMW7G29</t>
  </si>
  <si>
    <t>7QEON6Y1RL5XR3R1W237</t>
  </si>
  <si>
    <t>1010000012</t>
  </si>
  <si>
    <t>1010000016</t>
  </si>
  <si>
    <t>AMERICAN HONDA FINANCE CORPORA</t>
  </si>
  <si>
    <t>AI8GXW8LG5WK7E9UD086</t>
  </si>
  <si>
    <t>1010000023</t>
  </si>
  <si>
    <t>1010000030</t>
  </si>
  <si>
    <t>H3F39CAXWQRVWURFXL38</t>
  </si>
  <si>
    <t>Z8X7HLNS173XGDTUJI40</t>
  </si>
  <si>
    <t>1010000041</t>
  </si>
  <si>
    <t>AXA EQUITABLE HOLDINGS INC</t>
  </si>
  <si>
    <t>549300FIBAKMNHPZ4009</t>
  </si>
  <si>
    <t>C90VT034M03BN29IRA40</t>
  </si>
  <si>
    <t>05565E-CA-1</t>
  </si>
  <si>
    <t>BANK OF AMERICA CORP</t>
  </si>
  <si>
    <t>071813-BQ-1</t>
  </si>
  <si>
    <t>07274N-AE-3</t>
  </si>
  <si>
    <t>09261H-A*-8</t>
  </si>
  <si>
    <t>3D</t>
  </si>
  <si>
    <t>101137-AZ-0</t>
  </si>
  <si>
    <t>10373Q-AB-6</t>
  </si>
  <si>
    <t>110122-CY-2</t>
  </si>
  <si>
    <t>14040H-BJ-3</t>
  </si>
  <si>
    <t>1010000103</t>
  </si>
  <si>
    <t>1010000107</t>
  </si>
  <si>
    <t>1010000110</t>
  </si>
  <si>
    <t>549300BY26GXF5YHV453</t>
  </si>
  <si>
    <t>1010000114</t>
  </si>
  <si>
    <t>1010000121</t>
  </si>
  <si>
    <t>17401Q-AU-5</t>
  </si>
  <si>
    <t>CITIZENS BANK NA</t>
  </si>
  <si>
    <t>CITIZENS FINANCIAL GROUP</t>
  </si>
  <si>
    <t>COMCAST CORP</t>
  </si>
  <si>
    <t>1010000132</t>
  </si>
  <si>
    <t>XXRTID9RYWOZ0UPIVR53</t>
  </si>
  <si>
    <t>CROWN CASTLE INTL CORP</t>
  </si>
  <si>
    <t>1010000150</t>
  </si>
  <si>
    <t>25278X-AM-1</t>
  </si>
  <si>
    <t>DIAMONDBACK ENERGY INC</t>
  </si>
  <si>
    <t>26078J-AC-4</t>
  </si>
  <si>
    <t>26138E-AW-9</t>
  </si>
  <si>
    <t>EOG RESOURCES INC</t>
  </si>
  <si>
    <t>27409L-AA-1</t>
  </si>
  <si>
    <t>ENTERGY AK INC</t>
  </si>
  <si>
    <t>30040W-AG-3</t>
  </si>
  <si>
    <t>31677Q-BR-9</t>
  </si>
  <si>
    <t>NATIONAL FOOTBALL LEAGUE TRUST</t>
  </si>
  <si>
    <t>1010000201</t>
  </si>
  <si>
    <t>FORTIVE CORP</t>
  </si>
  <si>
    <t>1010000205</t>
  </si>
  <si>
    <t>GAP INC</t>
  </si>
  <si>
    <t>PP55B5R38BFB8O8HH686</t>
  </si>
  <si>
    <t>GENERAL DYNAMICS CORP</t>
  </si>
  <si>
    <t>1010000212</t>
  </si>
  <si>
    <t>375558-BF-9</t>
  </si>
  <si>
    <t>38869P-AM-6</t>
  </si>
  <si>
    <t>GRAY OAK PIPELINE LLC Series 144A</t>
  </si>
  <si>
    <t>1010000223</t>
  </si>
  <si>
    <t>1010000230</t>
  </si>
  <si>
    <t>413086-AH-2</t>
  </si>
  <si>
    <t>1010000241</t>
  </si>
  <si>
    <t>45866F-AV-6</t>
  </si>
  <si>
    <t>INTERNATIONAL BUSINESS MACHINE</t>
  </si>
  <si>
    <t>5493000CGCQY2OQU7669</t>
  </si>
  <si>
    <t>46647P-DA-1</t>
  </si>
  <si>
    <t>KEYCORP</t>
  </si>
  <si>
    <t>501044-DE-8</t>
  </si>
  <si>
    <t>LITHIA MOTORS INC Series 144A</t>
  </si>
  <si>
    <t>548661-EL-7</t>
  </si>
  <si>
    <t>5493000CZJ19CK4P3G36</t>
  </si>
  <si>
    <t>MAPLELEAF MIDSTREAM INVESTMENT</t>
  </si>
  <si>
    <t>549300XMP3KDCKJXIU47</t>
  </si>
  <si>
    <t>MARTIN MARIETTA</t>
  </si>
  <si>
    <t>58174#-AF-1</t>
  </si>
  <si>
    <t>METROPOLITAN LIFE GLOBAL FUNDI</t>
  </si>
  <si>
    <t>60081H-A@-7</t>
  </si>
  <si>
    <t>MONDELEZ INTERNATIONAL INC</t>
  </si>
  <si>
    <t>1010000303</t>
  </si>
  <si>
    <t>61744Y-AQ-1</t>
  </si>
  <si>
    <t>1010000307</t>
  </si>
  <si>
    <t>1010000310</t>
  </si>
  <si>
    <t>624758-AF-5</t>
  </si>
  <si>
    <t>1010000314</t>
  </si>
  <si>
    <t>NATIONAL FUEL GAS COMPANY</t>
  </si>
  <si>
    <t>1010000321</t>
  </si>
  <si>
    <t>64952W-CH-4</t>
  </si>
  <si>
    <t>NEW YORK LIFE GLOBAL FUNDING Series 144A</t>
  </si>
  <si>
    <t>1.D</t>
  </si>
  <si>
    <t>1010000332</t>
  </si>
  <si>
    <t>66989H-AJ-7</t>
  </si>
  <si>
    <t>6944PL-2H-1</t>
  </si>
  <si>
    <t>549300VH4MUMYIT6HH52</t>
  </si>
  <si>
    <t>FXM8FAOHMYDIPD38UZ17</t>
  </si>
  <si>
    <t>78355H-KL-2</t>
  </si>
  <si>
    <t>RYDER SYSTEM INC</t>
  </si>
  <si>
    <t>MERCK &amp; CO INC</t>
  </si>
  <si>
    <t>1010000401</t>
  </si>
  <si>
    <t>1010000405</t>
  </si>
  <si>
    <t>1010000412</t>
  </si>
  <si>
    <t>HCHV7422L5HDJZCRFL38</t>
  </si>
  <si>
    <t>LUZQVYP4VS22CLWDAR65</t>
  </si>
  <si>
    <t>1010000423</t>
  </si>
  <si>
    <t>UNILEVER CAPITAL CORP</t>
  </si>
  <si>
    <t>1010000430</t>
  </si>
  <si>
    <t>910637-V@-3</t>
  </si>
  <si>
    <t>549300YGMGQDO0NMJD09</t>
  </si>
  <si>
    <t>92940P-AE-4</t>
  </si>
  <si>
    <t>931142-ED-1</t>
  </si>
  <si>
    <t>WASTE MANAGEMENT INC</t>
  </si>
  <si>
    <t>PBLD0EJDB5FWOLXP3B76</t>
  </si>
  <si>
    <t>XYLEM INC</t>
  </si>
  <si>
    <t>29250N-AY-1</t>
  </si>
  <si>
    <t>AIA GROUP LTD</t>
  </si>
  <si>
    <t>ANZ BANK NEW ZEALAND LTD</t>
  </si>
  <si>
    <t>ALCOA NEDERLAND HOLDING BV</t>
  </si>
  <si>
    <t>1010000503</t>
  </si>
  <si>
    <t>09659W-2D-5</t>
  </si>
  <si>
    <t>09659W-2E-3</t>
  </si>
  <si>
    <t>1010000510</t>
  </si>
  <si>
    <t>1010000514</t>
  </si>
  <si>
    <t>COMMONWEALTH BANK AUSTRALIA Series 144A</t>
  </si>
  <si>
    <t>COOPERAT RABOBANK UA/NY</t>
  </si>
  <si>
    <t>29278G-AN-8</t>
  </si>
  <si>
    <t>1010000521</t>
  </si>
  <si>
    <t>FERGUSON FINANCE PLC</t>
  </si>
  <si>
    <t>HSBC HOLDINGS PLC</t>
  </si>
  <si>
    <t>213800ZVZWENEQASOG67</t>
  </si>
  <si>
    <t>1010000532</t>
  </si>
  <si>
    <t>60687Y-BP-3</t>
  </si>
  <si>
    <t>NXP BV AND NXP FUNDING LLC</t>
  </si>
  <si>
    <t>NATWEST GROUP PLC</t>
  </si>
  <si>
    <t>O2RNE8IBXP4R0TD8PU41</t>
  </si>
  <si>
    <t>TAKEDA PHARMACEUTICAL CO LTD TAKEDA PHAR</t>
  </si>
  <si>
    <t>FIRST GAS LTD</t>
  </si>
  <si>
    <t>ARI FLEET LEASE TRUST ARIFL_22 Series 14</t>
  </si>
  <si>
    <t>03236X-AB-3</t>
  </si>
  <si>
    <t>05377R-ER-1</t>
  </si>
  <si>
    <t>1040000018</t>
  </si>
  <si>
    <t>BXG RECEIVABLES NOTE TRUST BXG</t>
  </si>
  <si>
    <t>07359B-AA-5</t>
  </si>
  <si>
    <t>1040000029</t>
  </si>
  <si>
    <t>1040000036</t>
  </si>
  <si>
    <t>CARVANA AUTO RECEIVABLES TRUST CARVANA A</t>
  </si>
  <si>
    <t>1040000043</t>
  </si>
  <si>
    <t>CHESAPEAKE FUNDING II LLC CFII</t>
  </si>
  <si>
    <t>1040000047</t>
  </si>
  <si>
    <t>DB MASTER FINANCE LLC DNKN_21-</t>
  </si>
  <si>
    <t>1040000054</t>
  </si>
  <si>
    <t>1040000058</t>
  </si>
  <si>
    <t>1040000061</t>
  </si>
  <si>
    <t>1040000065</t>
  </si>
  <si>
    <t>1040000072</t>
  </si>
  <si>
    <t>1040000076</t>
  </si>
  <si>
    <t>1040000083</t>
  </si>
  <si>
    <t>1040000090</t>
  </si>
  <si>
    <t>466365-AE-3</t>
  </si>
  <si>
    <t>1040000109</t>
  </si>
  <si>
    <t>55400V-AC-5</t>
  </si>
  <si>
    <t>60700K-AE-2</t>
  </si>
  <si>
    <t>1040000127</t>
  </si>
  <si>
    <t>1040000134</t>
  </si>
  <si>
    <t>78403D-AP-5</t>
  </si>
  <si>
    <t>1040000138</t>
  </si>
  <si>
    <t>82652M-AB-6</t>
  </si>
  <si>
    <t>82652M-AC-4</t>
  </si>
  <si>
    <t>1040000145</t>
  </si>
  <si>
    <t>1040000149</t>
  </si>
  <si>
    <t>1040000152</t>
  </si>
  <si>
    <t>1040000156</t>
  </si>
  <si>
    <t>1040000163</t>
  </si>
  <si>
    <t>1040000167</t>
  </si>
  <si>
    <t>1040000170</t>
  </si>
  <si>
    <t>1040000174</t>
  </si>
  <si>
    <t>98164E-AF-2</t>
  </si>
  <si>
    <t>1040000181</t>
  </si>
  <si>
    <t>MASTER CREDIT CARD TRUST MCCT_ Series 14</t>
  </si>
  <si>
    <t>1040000185</t>
  </si>
  <si>
    <t>04018L-AL-9</t>
  </si>
  <si>
    <t>1040000192</t>
  </si>
  <si>
    <t>CIFC FUNDING LTD CIFC_16-1A</t>
  </si>
  <si>
    <t>675711-AC-9</t>
  </si>
  <si>
    <t>1040000218</t>
  </si>
  <si>
    <t>VOYA CLO LTD VOYA_20-3A Series 144A</t>
  </si>
  <si>
    <t>1410000000</t>
  </si>
  <si>
    <t>1429999999</t>
  </si>
  <si>
    <t>Total - Commercial Mortgage-Backed Securities</t>
  </si>
  <si>
    <t>2479999999</t>
  </si>
  <si>
    <t>4109999999</t>
  </si>
  <si>
    <t>5519999999</t>
  </si>
  <si>
    <t>5910000000</t>
  </si>
  <si>
    <t>Total - Common Stocks - Parent, Subsidiaries and Affiliates</t>
  </si>
  <si>
    <t xml:space="preserve">Number of Shares of Stock </t>
  </si>
  <si>
    <t>1100000004</t>
  </si>
  <si>
    <t>AMGEN INC    3.000% 02/22/29</t>
  </si>
  <si>
    <t>1100000011</t>
  </si>
  <si>
    <t>1100000015</t>
  </si>
  <si>
    <t>1100000022</t>
  </si>
  <si>
    <t>1100000033</t>
  </si>
  <si>
    <t>1100000040</t>
  </si>
  <si>
    <t>PNC CAPITAL MARKETS</t>
  </si>
  <si>
    <t>1100000102</t>
  </si>
  <si>
    <t>1100000106</t>
  </si>
  <si>
    <t>1100000113</t>
  </si>
  <si>
    <t>1100000120</t>
  </si>
  <si>
    <t>1100000124</t>
  </si>
  <si>
    <t>1100000131</t>
  </si>
  <si>
    <t>4509999998</t>
  </si>
  <si>
    <t xml:space="preserve">Total Change in Book/ Adjusted Carrying Value (11 + 12 - 13) </t>
  </si>
  <si>
    <t>TENDER</t>
  </si>
  <si>
    <t>476576-HT-3</t>
  </si>
  <si>
    <t>828641-UD-0</t>
  </si>
  <si>
    <t>SIMI VALLEY CALIF UNI SCH DIST</t>
  </si>
  <si>
    <t>88213A-FX-8</t>
  </si>
  <si>
    <t>ABBVIE INC    2.850% 05/14/23</t>
  </si>
  <si>
    <t>MARKETAXESS</t>
  </si>
  <si>
    <t>09062X-AE-3</t>
  </si>
  <si>
    <t>BIOGEN INC    3.625% 09/15/22</t>
  </si>
  <si>
    <t>BLACKROCK INC</t>
  </si>
  <si>
    <t>10373Q-AD-2</t>
  </si>
  <si>
    <t>110122-CX-4</t>
  </si>
  <si>
    <t>8E6NF1YAL0WT6CWXXV93</t>
  </si>
  <si>
    <t>CITRIX SYST INC CITRIX SYSTEMS INC</t>
  </si>
  <si>
    <t>CLEARBRIDGE ENERGY MLP OPPORTU</t>
  </si>
  <si>
    <t>18978C-AE-3</t>
  </si>
  <si>
    <t>24422E-TV-1</t>
  </si>
  <si>
    <t>269246-BP-8</t>
  </si>
  <si>
    <t>36256X-AG-7</t>
  </si>
  <si>
    <t>369550-AW-8</t>
  </si>
  <si>
    <t>INTEL CORP    3.100% 07/29/22</t>
  </si>
  <si>
    <t>46647P-AU-0</t>
  </si>
  <si>
    <t>55336V-BK-5</t>
  </si>
  <si>
    <t>MARKEL CORP</t>
  </si>
  <si>
    <t>MARVELL TECH GRP LTD.    4.200% 06/22/23</t>
  </si>
  <si>
    <t>MARVELL TECH GRP LTD.</t>
  </si>
  <si>
    <t>MCKESSON CORP    3.796% 03/15/24</t>
  </si>
  <si>
    <t>NEWMARKET CORP</t>
  </si>
  <si>
    <t>717081-DV-2</t>
  </si>
  <si>
    <t>PFIZER INC    2.750% 06/03/26</t>
  </si>
  <si>
    <t>QVC INC    4.750% 02/15/27</t>
  </si>
  <si>
    <t>1100000200</t>
  </si>
  <si>
    <t>1100000204</t>
  </si>
  <si>
    <t>858119-BJ-8</t>
  </si>
  <si>
    <t>1100000211</t>
  </si>
  <si>
    <t>1100000215</t>
  </si>
  <si>
    <t>1100000222</t>
  </si>
  <si>
    <t>549300WH1375KZXLJ231</t>
  </si>
  <si>
    <t>1100000240</t>
  </si>
  <si>
    <t>GENPACT LUXEMBOURG SARL</t>
  </si>
  <si>
    <t>62954H-AC-2</t>
  </si>
  <si>
    <t>67098W-AA-9</t>
  </si>
  <si>
    <t>FIRSTGROUP PLC</t>
  </si>
  <si>
    <t>P_2022_A_NAIC_SCDPT5</t>
  </si>
  <si>
    <t>SCDPT5</t>
  </si>
  <si>
    <t>0100000</t>
  </si>
  <si>
    <t>Subtotal - Preferred Stock - U.S. P&amp;C Insurer</t>
  </si>
  <si>
    <t>0399999</t>
  </si>
  <si>
    <t>0700000</t>
  </si>
  <si>
    <t>Subtotal - Common Stock - Parent</t>
  </si>
  <si>
    <t>Subtotal - Common Stock - Investment Sub</t>
  </si>
  <si>
    <t xml:space="preserve">Description </t>
  </si>
  <si>
    <t xml:space="preserve">Code </t>
  </si>
  <si>
    <t>0010000001</t>
  </si>
  <si>
    <t>912828-2N-9</t>
  </si>
  <si>
    <t>JJ</t>
  </si>
  <si>
    <t>0010000005</t>
  </si>
  <si>
    <t>0010000012</t>
  </si>
  <si>
    <t>Subtotal - Bonds - U.S. Governments - Other Loan-Backed and Structured Securities</t>
  </si>
  <si>
    <t>HAWAII ST HAWAII ST</t>
  </si>
  <si>
    <t>4</t>
  </si>
  <si>
    <t>57582R-L6-1</t>
  </si>
  <si>
    <t>1.B FE</t>
  </si>
  <si>
    <t>0410000004</t>
  </si>
  <si>
    <t>0429999999</t>
  </si>
  <si>
    <t>0810000003</t>
  </si>
  <si>
    <t>0810000007</t>
  </si>
  <si>
    <t>01179R-M2-6</t>
  </si>
  <si>
    <t>0810000010</t>
  </si>
  <si>
    <t>0810000014</t>
  </si>
  <si>
    <t>BAY AREA TOLL AUTHORITY BAY AREA TOLL AU</t>
  </si>
  <si>
    <t>0810000021</t>
  </si>
  <si>
    <t>DALLAS TEX WTRWKS &amp; SWR SYS RE</t>
  </si>
  <si>
    <t>0810000032</t>
  </si>
  <si>
    <t>284035-AK-8</t>
  </si>
  <si>
    <t>284035-AL-6</t>
  </si>
  <si>
    <t>284035-AM-4</t>
  </si>
  <si>
    <t>MASSACHUSETTS ST COLLEGE BLDG</t>
  </si>
  <si>
    <t>PORT MORROW ORE PORT MORROW ORE TRANSMIS</t>
  </si>
  <si>
    <t>0810000050</t>
  </si>
  <si>
    <t>TEXAS A &amp; M UNIV REV</t>
  </si>
  <si>
    <t>UNIVERSITY CALIF</t>
  </si>
  <si>
    <t>Subtotal - Bonds - U.S. Special Revenues - Issuer Obligations</t>
  </si>
  <si>
    <t>00440E-AS-6</t>
  </si>
  <si>
    <t>1010000009</t>
  </si>
  <si>
    <t>019736-AG-2</t>
  </si>
  <si>
    <t>ALLISON TRANSMISSION INC</t>
  </si>
  <si>
    <t>AON CORP/AON GLOBAL HOLD</t>
  </si>
  <si>
    <t>1010000027</t>
  </si>
  <si>
    <t>03740L-AF-9</t>
  </si>
  <si>
    <t>54930049QLLMPART6V29</t>
  </si>
  <si>
    <t>1010000034</t>
  </si>
  <si>
    <t>1010000038</t>
  </si>
  <si>
    <t>1010000045</t>
  </si>
  <si>
    <t>1010000049</t>
  </si>
  <si>
    <t>1010000052</t>
  </si>
  <si>
    <t>BAYER US FINANCE II LLC</t>
  </si>
  <si>
    <t>1010000056</t>
  </si>
  <si>
    <t>085770-AA-3</t>
  </si>
  <si>
    <t>1010000063</t>
  </si>
  <si>
    <t>1010000067</t>
  </si>
  <si>
    <t>HLYYNH7UQUORYSJQCN42</t>
  </si>
  <si>
    <t>1010000070</t>
  </si>
  <si>
    <t>1010000074</t>
  </si>
  <si>
    <t>BUNGE LIMITED FINANCE CORPORAT</t>
  </si>
  <si>
    <t>PARAMOUNT GLOBAL</t>
  </si>
  <si>
    <t>1010000081</t>
  </si>
  <si>
    <t>549300WEVUODRJ4CWK56</t>
  </si>
  <si>
    <t>1010000085</t>
  </si>
  <si>
    <t>CAPITAL ONE FIN CORP</t>
  </si>
  <si>
    <t>1010000092</t>
  </si>
  <si>
    <t>CARDINAL HEALTH INC</t>
  </si>
  <si>
    <t>CHEVRON USA INC.</t>
  </si>
  <si>
    <t>1010000118</t>
  </si>
  <si>
    <t>185508-C@-5</t>
  </si>
  <si>
    <t>1010000125</t>
  </si>
  <si>
    <t>1010000129</t>
  </si>
  <si>
    <t>200339-EX-3</t>
  </si>
  <si>
    <t>B3MEDVFOVCVDXCQQFS03</t>
  </si>
  <si>
    <t>CONTINENTAL RESOURCES</t>
  </si>
  <si>
    <t>1010000136</t>
  </si>
  <si>
    <t>SUNAMERICA INC</t>
  </si>
  <si>
    <t>224044-CG-0</t>
  </si>
  <si>
    <t>1010000143</t>
  </si>
  <si>
    <t>1010000147</t>
  </si>
  <si>
    <t>MICHIGAN CONS GAS DTE GAS COMPANY</t>
  </si>
  <si>
    <t>JOHN DEERE CAPITAL CORP</t>
  </si>
  <si>
    <t>24422E-VB-2</t>
  </si>
  <si>
    <t>1010000154</t>
  </si>
  <si>
    <t>1010000158</t>
  </si>
  <si>
    <t>1010000161</t>
  </si>
  <si>
    <t>1010000165</t>
  </si>
  <si>
    <t>FGLT0EWZSUIRRITFOA30</t>
  </si>
  <si>
    <t>1010000172</t>
  </si>
  <si>
    <t>95MD72NUUVZ3P8PQ6919</t>
  </si>
  <si>
    <t>29275Y-AB-8</t>
  </si>
  <si>
    <t>SERIES 144A</t>
  </si>
  <si>
    <t>1010000176</t>
  </si>
  <si>
    <t>1010000183</t>
  </si>
  <si>
    <t>FMC CORP</t>
  </si>
  <si>
    <t>1010000190</t>
  </si>
  <si>
    <t>1010000209</t>
  </si>
  <si>
    <t>37331N-AL-5</t>
  </si>
  <si>
    <t>GLOBAL PAYMENTS INC</t>
  </si>
  <si>
    <t>1010000216</t>
  </si>
  <si>
    <t>549300US8QAZJLWYAF63</t>
  </si>
  <si>
    <t>GUARDIAN LIFE GLOBAL FUNDING Series 144A</t>
  </si>
  <si>
    <t>40139L-BA-0</t>
  </si>
  <si>
    <t>1010000227</t>
  </si>
  <si>
    <t>41242*-BZ-4</t>
  </si>
  <si>
    <t>1010000234</t>
  </si>
  <si>
    <t>1010000238</t>
  </si>
  <si>
    <t>5493000F4ZO33MV32P92</t>
  </si>
  <si>
    <t>1010000245</t>
  </si>
  <si>
    <t>JABIL CIRCUIT INC</t>
  </si>
  <si>
    <t>1010000249</t>
  </si>
  <si>
    <t>1010000252</t>
  </si>
  <si>
    <t>JERSEY CTL PWR &amp; LT CO Series 144A</t>
  </si>
  <si>
    <t>1010000256</t>
  </si>
  <si>
    <t>1010000263</t>
  </si>
  <si>
    <t>OZ7UA8IXAIFILY2VZH07</t>
  </si>
  <si>
    <t>1010000267</t>
  </si>
  <si>
    <t>513272-AD-6</t>
  </si>
  <si>
    <t>1010000270</t>
  </si>
  <si>
    <t>53154*-AM-5</t>
  </si>
  <si>
    <t>1010000274</t>
  </si>
  <si>
    <t>WAFCR4OKGSC504WU3E95</t>
  </si>
  <si>
    <t>1010000281</t>
  </si>
  <si>
    <t>MAPLELEAF MIDSTREAM INVESTMENT MAPLELEAF</t>
  </si>
  <si>
    <t>1010000292</t>
  </si>
  <si>
    <t>MILLIKEN &amp; COMPANY</t>
  </si>
  <si>
    <t>61747Y-EK-7</t>
  </si>
  <si>
    <t>62927@-AF-5</t>
  </si>
  <si>
    <t>1010000318</t>
  </si>
  <si>
    <t>636180-BL-4</t>
  </si>
  <si>
    <t>NATIONAL RURAL UTILITIES COOP</t>
  </si>
  <si>
    <t>1010000325</t>
  </si>
  <si>
    <t>1010000329</t>
  </si>
  <si>
    <t>NORTHERN ILLINOIS GAS COMPANY</t>
  </si>
  <si>
    <t>NORTHROP GRUMMAN CORP</t>
  </si>
  <si>
    <t>1010000336</t>
  </si>
  <si>
    <t>NORTHWESTERN MUTUAL GLOBAL FUN</t>
  </si>
  <si>
    <t>HKUPACFHSSASQK8HLS17</t>
  </si>
  <si>
    <t>1010000343</t>
  </si>
  <si>
    <t>1010000347</t>
  </si>
  <si>
    <t>1010000350</t>
  </si>
  <si>
    <t>6354003EUPCHXTWUU869</t>
  </si>
  <si>
    <t>1010000354</t>
  </si>
  <si>
    <t>713448-ER-5</t>
  </si>
  <si>
    <t>1010000358</t>
  </si>
  <si>
    <t>723484-AH-4</t>
  </si>
  <si>
    <t>PNC EQUIPMENT FINANCE LLC</t>
  </si>
  <si>
    <t>1010000361</t>
  </si>
  <si>
    <t>PRICEWATERHOUSECOOPERS</t>
  </si>
  <si>
    <t>1010000365</t>
  </si>
  <si>
    <t>74256L-BJ-7</t>
  </si>
  <si>
    <t>PUSS41EMO3E6XXNV3U28</t>
  </si>
  <si>
    <t>1010000372</t>
  </si>
  <si>
    <t>ROCHE HOLDINGS INC Series 144A</t>
  </si>
  <si>
    <t>1010000383</t>
  </si>
  <si>
    <t>785592-AU-0</t>
  </si>
  <si>
    <t>1010000390</t>
  </si>
  <si>
    <t>82967N-BM-9</t>
  </si>
  <si>
    <t>SMITHFIELD FOODS, INC.</t>
  </si>
  <si>
    <t>843830-B#-6</t>
  </si>
  <si>
    <t>STATE STREET CORPORATION</t>
  </si>
  <si>
    <t>1010000409</t>
  </si>
  <si>
    <t>863667-AH-4</t>
  </si>
  <si>
    <t>1010000416</t>
  </si>
  <si>
    <t>THERMO FISHER SCIENTIFIC INC</t>
  </si>
  <si>
    <t>UGI UTILITIES INC.</t>
  </si>
  <si>
    <t>1010000427</t>
  </si>
  <si>
    <t>UNION PACIFIC CORPORATION</t>
  </si>
  <si>
    <t>1010000434</t>
  </si>
  <si>
    <t>1010000438</t>
  </si>
  <si>
    <t>91324P-DN-9</t>
  </si>
  <si>
    <t>UNIVERSAL HEALTH SERVICES INC</t>
  </si>
  <si>
    <t>1010000441</t>
  </si>
  <si>
    <t>1010000445</t>
  </si>
  <si>
    <t>VMWARE INC</t>
  </si>
  <si>
    <t>1010000449</t>
  </si>
  <si>
    <t>1010000452</t>
  </si>
  <si>
    <t>549300YX8JIID70NFS41</t>
  </si>
  <si>
    <t>1010000456</t>
  </si>
  <si>
    <t>WUURD1P1N0874ONXXO03</t>
  </si>
  <si>
    <t>1010000463</t>
  </si>
  <si>
    <t>970648-AL-5</t>
  </si>
  <si>
    <t>1010000470</t>
  </si>
  <si>
    <t>1010000474</t>
  </si>
  <si>
    <t>FAIRFAX FINANCIAL HOLDINGS LTD</t>
  </si>
  <si>
    <t>1010000481</t>
  </si>
  <si>
    <t>MCCAIN FINANCE CANADA LTD</t>
  </si>
  <si>
    <t>00182Y-AA-3</t>
  </si>
  <si>
    <t>1010000492</t>
  </si>
  <si>
    <t>034863-AP-5</t>
  </si>
  <si>
    <t>BPCE SA Series 144A</t>
  </si>
  <si>
    <t>1010000507</t>
  </si>
  <si>
    <t>22535W-AE-7</t>
  </si>
  <si>
    <t>1010000518</t>
  </si>
  <si>
    <t>OW6OFBNCKXC4US5C7523</t>
  </si>
  <si>
    <t>FERGUSON FINANCE PLC Series 144A</t>
  </si>
  <si>
    <t>1010000525</t>
  </si>
  <si>
    <t>ICHTHYS LNG PTY LTD</t>
  </si>
  <si>
    <t>1010000529</t>
  </si>
  <si>
    <t>50202*-AA-9</t>
  </si>
  <si>
    <t>LIDL US LLC</t>
  </si>
  <si>
    <t>50202*-AB-7</t>
  </si>
  <si>
    <t>539439-AV-1</t>
  </si>
  <si>
    <t>549300PPXHEU2JF0AM85</t>
  </si>
  <si>
    <t>MITSUBISHI UFJ FINANCIAL GROUP</t>
  </si>
  <si>
    <t>1010000536</t>
  </si>
  <si>
    <t>NXP BV/NXP FUNDING LLC</t>
  </si>
  <si>
    <t>1010000543</t>
  </si>
  <si>
    <t>1010000547</t>
  </si>
  <si>
    <t>74977R-DL-5</t>
  </si>
  <si>
    <t>1010000550</t>
  </si>
  <si>
    <t>549300FGFN7VOK8BZR03</t>
  </si>
  <si>
    <t>1010000554</t>
  </si>
  <si>
    <t>81725W-AK-9</t>
  </si>
  <si>
    <t>1010000558</t>
  </si>
  <si>
    <t>1010000561</t>
  </si>
  <si>
    <t>STANDARD CHARTERED PLC</t>
  </si>
  <si>
    <t>86562M-CG-3</t>
  </si>
  <si>
    <t>1010000565</t>
  </si>
  <si>
    <t>UBS GROUP AG</t>
  </si>
  <si>
    <t>1010000572</t>
  </si>
  <si>
    <t>WHEDDJXMLB9XN5HV2E98</t>
  </si>
  <si>
    <t>529900V4TY1WZE63LI22</t>
  </si>
  <si>
    <t>1010000583</t>
  </si>
  <si>
    <t>1010000590</t>
  </si>
  <si>
    <t>Landsvirkjun</t>
  </si>
  <si>
    <t>Subtotal - Bonds - Industrial and Miscellaneous (Unaffiliated) - Residential Mortgage-Backed Securities</t>
  </si>
  <si>
    <t>AEP TEXAS CENTRAL TRANSITION F</t>
  </si>
  <si>
    <t>AXIS EQUIPMENT FINANCE RECEIVA Series 14</t>
  </si>
  <si>
    <t>ARBYS FUNDING LLC ARBYS_20-1A Series 144</t>
  </si>
  <si>
    <t>12510K-AE-3</t>
  </si>
  <si>
    <t>1040000069</t>
  </si>
  <si>
    <t>36265W-AF-0</t>
  </si>
  <si>
    <t>GREAT AMERICA LEASING RECEIVAB</t>
  </si>
  <si>
    <t>1040000087</t>
  </si>
  <si>
    <t>1040000094</t>
  </si>
  <si>
    <t>1040000098</t>
  </si>
  <si>
    <t>LTRAN_15-1A</t>
  </si>
  <si>
    <t>55400V-AB-7</t>
  </si>
  <si>
    <t>NP SPE II LLC NPRL_17-1A</t>
  </si>
  <si>
    <t>69145A-AB-4</t>
  </si>
  <si>
    <t>SBA TOWER TRUST</t>
  </si>
  <si>
    <t>87342R-AJ-3</t>
  </si>
  <si>
    <t>TESLA AUTO LEASE TRUST TESLA_2 Series 14</t>
  </si>
  <si>
    <t>VOLVO FINANCIAL EQUIPMENT LLC</t>
  </si>
  <si>
    <t>WENDYS FUNDING LLC WEN_19-1A</t>
  </si>
  <si>
    <t>1040000178</t>
  </si>
  <si>
    <t>08186P-AN-3</t>
  </si>
  <si>
    <t>1040000189</t>
  </si>
  <si>
    <t>CIFC FUNDING LTD CIFC_15-1A</t>
  </si>
  <si>
    <t>1040000196</t>
  </si>
  <si>
    <t>17180T-BC-5</t>
  </si>
  <si>
    <t>36319X-AC-1</t>
  </si>
  <si>
    <t>GALAXY CLO LTD GALXY_18-25A</t>
  </si>
  <si>
    <t>37959P-AA-5</t>
  </si>
  <si>
    <t>48662N-AA-5</t>
  </si>
  <si>
    <t>48662N-AC-1</t>
  </si>
  <si>
    <t>92333B-AU-4</t>
  </si>
  <si>
    <t>92914R-BG-6</t>
  </si>
  <si>
    <t>1219999999</t>
  </si>
  <si>
    <t>Subtotal - Bonds - Parent, Subsidiaries and Affiliates - Issuer Obligations</t>
  </si>
  <si>
    <t>1460000000</t>
  </si>
  <si>
    <t>1820000000</t>
  </si>
  <si>
    <t>Total - Other Loan-Backed and Structured Securities</t>
  </si>
  <si>
    <t>000001D</t>
  </si>
  <si>
    <t>Schedule D - Part 2 - Section 1 - Preferred Stocks Owned</t>
  </si>
  <si>
    <t>5920000001</t>
  </si>
  <si>
    <t>P4703#-10-1</t>
  </si>
  <si>
    <t>5929999999</t>
  </si>
  <si>
    <t>0100000000</t>
  </si>
  <si>
    <t>Subtotal - Bonds - All Other Governments</t>
  </si>
  <si>
    <t>Subtotal - Bonds - U.S. States, Territories and Possessions</t>
  </si>
  <si>
    <t>PIPER JAFFRAY &amp; HOPWOOD</t>
  </si>
  <si>
    <t>0900000002</t>
  </si>
  <si>
    <t>1100000008</t>
  </si>
  <si>
    <t>1100000019</t>
  </si>
  <si>
    <t>AUTONATION INC    4.750% 06/01/30</t>
  </si>
  <si>
    <t>1100000026</t>
  </si>
  <si>
    <t>1100000037</t>
  </si>
  <si>
    <t>AMHERST</t>
  </si>
  <si>
    <t>1100000044</t>
  </si>
  <si>
    <t>1100000048</t>
  </si>
  <si>
    <t>1100000051</t>
  </si>
  <si>
    <t>1100000055</t>
  </si>
  <si>
    <t>1100000059</t>
  </si>
  <si>
    <t>1100000062</t>
  </si>
  <si>
    <t>1100000066</t>
  </si>
  <si>
    <t>1100000073</t>
  </si>
  <si>
    <t>BNP PARISBAS</t>
  </si>
  <si>
    <t>1100000080</t>
  </si>
  <si>
    <t>1100000084</t>
  </si>
  <si>
    <t>1100000091</t>
  </si>
  <si>
    <t>JABIL CIRCUIT INC    4.250% 05/15/27</t>
  </si>
  <si>
    <t>Guggenheim Capital</t>
  </si>
  <si>
    <t>1100000117</t>
  </si>
  <si>
    <t>1100000128</t>
  </si>
  <si>
    <t>1100000135</t>
  </si>
  <si>
    <t>1100000139</t>
  </si>
  <si>
    <t>1100000142</t>
  </si>
  <si>
    <t>1100000146</t>
  </si>
  <si>
    <t>1100000153</t>
  </si>
  <si>
    <t>1100000157</t>
  </si>
  <si>
    <t>1100000160</t>
  </si>
  <si>
    <t>1100000164</t>
  </si>
  <si>
    <t>1100000171</t>
  </si>
  <si>
    <t>1100000175</t>
  </si>
  <si>
    <t>Total - Preferred Stocks - Part 3</t>
  </si>
  <si>
    <t xml:space="preserve">Disposal Date </t>
  </si>
  <si>
    <t xml:space="preserve">Consideration </t>
  </si>
  <si>
    <t>BERMUDA (GOVERNMENT)</t>
  </si>
  <si>
    <t>NJ</t>
  </si>
  <si>
    <t>KANSAS ST DEV FIN AUTH</t>
  </si>
  <si>
    <t>0900000006</t>
  </si>
  <si>
    <t>042735-BG-4</t>
  </si>
  <si>
    <t>549300YNNLBXT8N8R512</t>
  </si>
  <si>
    <t>126650-CW-8</t>
  </si>
  <si>
    <t>14040H-BZ-7</t>
  </si>
  <si>
    <t>14913Q-2S-7</t>
  </si>
  <si>
    <t>Redemption      100.0000</t>
  </si>
  <si>
    <t>LEVEL 3 FINANCING INC</t>
  </si>
  <si>
    <t>53154*-AK-9</t>
  </si>
  <si>
    <t>MICROSOFT CORPORATION</t>
  </si>
  <si>
    <t>594918-BQ-6</t>
  </si>
  <si>
    <t>63938P-BP-3</t>
  </si>
  <si>
    <t>PFIZER INC</t>
  </si>
  <si>
    <t>FY8JBF7CCL2VE4F1B628</t>
  </si>
  <si>
    <t>1100000182</t>
  </si>
  <si>
    <t>1100000193</t>
  </si>
  <si>
    <t>1100000208</t>
  </si>
  <si>
    <t>5RGWIFLMGH3YS7KWI652</t>
  </si>
  <si>
    <t>TEXAS INSTRUMENTS INC</t>
  </si>
  <si>
    <t>TIMKEN CO    3.875% 09/01/24</t>
  </si>
  <si>
    <t>1100000219</t>
  </si>
  <si>
    <t>1100000226</t>
  </si>
  <si>
    <t>91914J-AA-0</t>
  </si>
  <si>
    <t>1100000233</t>
  </si>
  <si>
    <t>92888D-AF-2</t>
  </si>
  <si>
    <t>WELLPOINT INC</t>
  </si>
  <si>
    <t>1100000237</t>
  </si>
  <si>
    <t>1100000244</t>
  </si>
  <si>
    <t>1100000248</t>
  </si>
  <si>
    <t>1100000251</t>
  </si>
  <si>
    <t>1100000255</t>
  </si>
  <si>
    <t>Taxable Exchange</t>
  </si>
  <si>
    <t>44962L-AH-0</t>
  </si>
  <si>
    <t>1100000262</t>
  </si>
  <si>
    <t>606822-AL-8</t>
  </si>
  <si>
    <t>60687Y-AL-3</t>
  </si>
  <si>
    <t>62954H-AA-6</t>
  </si>
  <si>
    <t>NXP BV/NXP FUNDING LLC/NXP USA Series 14</t>
  </si>
  <si>
    <t>1100000266</t>
  </si>
  <si>
    <t>1100000273</t>
  </si>
  <si>
    <t>G6515#-AH-7</t>
  </si>
  <si>
    <t>1100000280</t>
  </si>
  <si>
    <t>ELECTRANET</t>
  </si>
  <si>
    <t>1100000284</t>
  </si>
  <si>
    <t>Q9883#-AA-9</t>
  </si>
  <si>
    <t xml:space="preserve">Book/Adjusted Carrying Value at Disposal </t>
  </si>
  <si>
    <t>Schedule D-Part 6-Section 1-Valuation of Shares of Subsidiary, Controlled or Affiliated Companies</t>
  </si>
  <si>
    <t>Subtotal - Preferred Stock - U.S. Health Entity</t>
  </si>
  <si>
    <t>1699999</t>
  </si>
  <si>
    <t xml:space="preserve">Total Amount of Goodwill Included in Amount Shown in Column 8, Section 1 </t>
  </si>
  <si>
    <t xml:space="preserve">NAIC Designation Modifier </t>
  </si>
  <si>
    <t xml:space="preserve">Interest: Admitted Amount Due and Accrued </t>
  </si>
  <si>
    <t>912810-FT-0</t>
  </si>
  <si>
    <t>0010000009</t>
  </si>
  <si>
    <t>0219999999</t>
  </si>
  <si>
    <t>0410000008</t>
  </si>
  <si>
    <t>D</t>
  </si>
  <si>
    <t>Subtotal - Bonds - U.S. States, Territories and Possessions - Issuer Obligations</t>
  </si>
  <si>
    <t>@</t>
  </si>
  <si>
    <t>MUNI BND GO</t>
  </si>
  <si>
    <t>1.A FE</t>
  </si>
  <si>
    <t>010268-CT-5</t>
  </si>
  <si>
    <t>ARIZONA ST TRANSN BRD HWY REV</t>
  </si>
  <si>
    <t>0810000018</t>
  </si>
  <si>
    <t>5493001FUZGUQMIP5D78</t>
  </si>
  <si>
    <t>0810000025</t>
  </si>
  <si>
    <t>0810000029</t>
  </si>
  <si>
    <t>0810000036</t>
  </si>
  <si>
    <t>0810000043</t>
  </si>
  <si>
    <t>0810000047</t>
  </si>
  <si>
    <t>0810000054</t>
  </si>
  <si>
    <t>832432-AL-2</t>
  </si>
  <si>
    <t>832432-AM-0</t>
  </si>
  <si>
    <t>0810000058</t>
  </si>
  <si>
    <t>0810000061</t>
  </si>
  <si>
    <t>TEXAS A &amp; M UNIVERSITY</t>
  </si>
  <si>
    <t>TEXAS TRANSN COMMN ST HWY FD TEXAS TRANS</t>
  </si>
  <si>
    <t>TEXAS TRANSN COMMN ST HWY FD</t>
  </si>
  <si>
    <t>TEXAS TRANSN COMMN</t>
  </si>
  <si>
    <t>898735-UQ-6</t>
  </si>
  <si>
    <t>0810000065</t>
  </si>
  <si>
    <t>898735-UR-4</t>
  </si>
  <si>
    <t>0810000072</t>
  </si>
  <si>
    <t>0820000000</t>
  </si>
  <si>
    <t>0839999999</t>
  </si>
  <si>
    <t>AGILENT TECH INC</t>
  </si>
  <si>
    <t>PTVU09TE3QPJPL7K4E13</t>
  </si>
  <si>
    <t>02665W-DJ-7</t>
  </si>
  <si>
    <t>AMERICAN TOWER CORPORATION</t>
  </si>
  <si>
    <t>03027X-BV-1</t>
  </si>
  <si>
    <t>03073E-AL-9</t>
  </si>
  <si>
    <t>APPLE INC</t>
  </si>
  <si>
    <t>YG6VT0TPHRH4TFVAQV64</t>
  </si>
  <si>
    <t>04317@-AQ-1</t>
  </si>
  <si>
    <t>PL</t>
  </si>
  <si>
    <t>ATHENE GLOBAL FUNDING Series 144A</t>
  </si>
  <si>
    <t>05329W-AQ-5</t>
  </si>
  <si>
    <t>05329W-AR-3</t>
  </si>
  <si>
    <t>BAXTER INTERNATIONAL INC. BAXTER INTERNA</t>
  </si>
  <si>
    <t>BAYER US FINANCE II LLC Series 144A</t>
  </si>
  <si>
    <t>BERRY GLOBAL ESCROW CORPORATIO</t>
  </si>
  <si>
    <t>549300D2L6J4NC1QVZ22</t>
  </si>
  <si>
    <t>BOOZ ALLEN HAMILTON INC Series 144A</t>
  </si>
  <si>
    <t>5493009NTB34VXE1T760</t>
  </si>
  <si>
    <t>BROADCOM INC</t>
  </si>
  <si>
    <t>BROOKLYN UNION GAS CO Series 144A</t>
  </si>
  <si>
    <t>BROWN &amp; BROWN INC</t>
  </si>
  <si>
    <t>549300C1PQJLVEIUBK50</t>
  </si>
  <si>
    <t>1010000078</t>
  </si>
  <si>
    <t>1010000089</t>
  </si>
  <si>
    <t>1010000096</t>
  </si>
  <si>
    <t>141781-BG-8</t>
  </si>
  <si>
    <t>EDBQKYOPJUCJKLOJDE72</t>
  </si>
  <si>
    <t>15135B-AR-2</t>
  </si>
  <si>
    <t>CENTENE CORP CENTENE CORPORATION</t>
  </si>
  <si>
    <t>153609-H#-2</t>
  </si>
  <si>
    <t>166756-AL-0</t>
  </si>
  <si>
    <t>CITIZENS FINANCIAL GROUP INC</t>
  </si>
  <si>
    <t>51M0QTTNCGUN7KFCFZ59</t>
  </si>
  <si>
    <t>20034D-JA-8</t>
  </si>
  <si>
    <t>5493004YEHAF1WJ41765</t>
  </si>
  <si>
    <t>212015-AS-0</t>
  </si>
  <si>
    <t>232806-A*-0</t>
  </si>
  <si>
    <t>256677-AL-9</t>
  </si>
  <si>
    <t>EAST OHIO GAS CO</t>
  </si>
  <si>
    <t>1010000169</t>
  </si>
  <si>
    <t>ENTEGRIS ESCROW CORP</t>
  </si>
  <si>
    <t>EQUITABLE FINANCIAL LIFE INSUR</t>
  </si>
  <si>
    <t>549300VFZ8XJ9NUPU221</t>
  </si>
  <si>
    <t>1010000187</t>
  </si>
  <si>
    <t>1010000194</t>
  </si>
  <si>
    <t>340711-AY-6</t>
  </si>
  <si>
    <t>FOOTBALL CLUB TERM NOTES 2033 FOOTBALL C</t>
  </si>
  <si>
    <t>OCT</t>
  </si>
  <si>
    <t>1010000198</t>
  </si>
  <si>
    <t>549300IHYHCQP2PIR591</t>
  </si>
  <si>
    <t>364760-AP-3</t>
  </si>
  <si>
    <t>37940X-AA-0</t>
  </si>
  <si>
    <t>GLOBAL PAYMENTS INC. GLOBAL PAYMENTS INC</t>
  </si>
  <si>
    <t>GRAPHIC PACKAGING HOLDING CO</t>
  </si>
  <si>
    <t>HARDWOOD FUNDING LLC/NATIONAL HARDWOOD F</t>
  </si>
  <si>
    <t>42824C-BK-4</t>
  </si>
  <si>
    <t>HUBBELL INC</t>
  </si>
  <si>
    <t>450636-AA-3</t>
  </si>
  <si>
    <t>INGLES MKTS INC</t>
  </si>
  <si>
    <t>457187-AB-8</t>
  </si>
  <si>
    <t>46647P-CJ-3</t>
  </si>
  <si>
    <t>KBR INC</t>
  </si>
  <si>
    <t>49271V-AP-5</t>
  </si>
  <si>
    <t>6CPEOKI6OYJ13Q6O7870</t>
  </si>
  <si>
    <t>513075-BZ-3</t>
  </si>
  <si>
    <t>LEIDOS INC</t>
  </si>
  <si>
    <t>SE8N1EZEHPZQBCBVKD53</t>
  </si>
  <si>
    <t>1010000278</t>
  </si>
  <si>
    <t>55261F-AJ-3</t>
  </si>
  <si>
    <t>1010000285</t>
  </si>
  <si>
    <t>MASSMUTUAL GLOBAL FUNDING II Series 144A</t>
  </si>
  <si>
    <t>1010000289</t>
  </si>
  <si>
    <t>1010000296</t>
  </si>
  <si>
    <t>595112-BM-4</t>
  </si>
  <si>
    <t>617446-8J-1</t>
  </si>
  <si>
    <t>NATIONAL RURAL UTILITIES COOPE</t>
  </si>
  <si>
    <t>PNC BANK NATIONAL ASSOCIATION</t>
  </si>
  <si>
    <t>PACIFIC LIFE GLOBAL FUNDING II Series 14</t>
  </si>
  <si>
    <t>PRICEWATERHOUSECOOPERS LLP PRICEWATERHOU</t>
  </si>
  <si>
    <t>PUBLIC SERVICE ENTERPRISE GROU</t>
  </si>
  <si>
    <t>1010000369</t>
  </si>
  <si>
    <t>PUGET ENERGY INC</t>
  </si>
  <si>
    <t>7591EP-AQ-3</t>
  </si>
  <si>
    <t>CW05CS5KW59QTC0DG824</t>
  </si>
  <si>
    <t>1010000376</t>
  </si>
  <si>
    <t>S&amp;P GLOBAL INC Series 144A</t>
  </si>
  <si>
    <t>1010000387</t>
  </si>
  <si>
    <t>1010000394</t>
  </si>
  <si>
    <t>808513-BU-8</t>
  </si>
  <si>
    <t>1010000398</t>
  </si>
  <si>
    <t>5493000WDH6A0LHDJD55</t>
  </si>
  <si>
    <t>87264A-CV-5</t>
  </si>
  <si>
    <t>89236T-HG-3</t>
  </si>
  <si>
    <t>89788M-AE-2</t>
  </si>
  <si>
    <t>US BANK NA/CINCINNATI OH</t>
  </si>
  <si>
    <t>92556V-AC-0</t>
  </si>
  <si>
    <t>GOXNEVUM0LL78B1OS344</t>
  </si>
  <si>
    <t>96949L-AD-7</t>
  </si>
  <si>
    <t>97670M-A#-3</t>
  </si>
  <si>
    <t>1010000467</t>
  </si>
  <si>
    <t>1010000478</t>
  </si>
  <si>
    <t>1010000485</t>
  </si>
  <si>
    <t>C5793#-AM-5</t>
  </si>
  <si>
    <t>1010000489</t>
  </si>
  <si>
    <t>00084D-AW-0</t>
  </si>
  <si>
    <t>1010000496</t>
  </si>
  <si>
    <t>04965D-A@-5</t>
  </si>
  <si>
    <t>BACARDI LTD Series 144A</t>
  </si>
  <si>
    <t>1.G PL</t>
  </si>
  <si>
    <t>KIMBERLY CLARK DE MEXICO SAB D Series 14</t>
  </si>
  <si>
    <t>82620K-BD-4</t>
  </si>
  <si>
    <t>SIEMENS FINANCIERINGSMAATSCHAP Series 14</t>
  </si>
  <si>
    <t>82620K-BE-2</t>
  </si>
  <si>
    <t>83368R-AZ-5</t>
  </si>
  <si>
    <t>TATE &amp; LYLE INTL FIN PLC TATE &amp; LYLE INT</t>
  </si>
  <si>
    <t>1010000569</t>
  </si>
  <si>
    <t>549300SZJ9VS8SGXAN81</t>
  </si>
  <si>
    <t>1010000576</t>
  </si>
  <si>
    <t>D2736#-AN-9</t>
  </si>
  <si>
    <t>3.C YE</t>
  </si>
  <si>
    <t>THAMES WTR UTILS</t>
  </si>
  <si>
    <t>1010000587</t>
  </si>
  <si>
    <t>1010000594</t>
  </si>
  <si>
    <t>Q7724#-AN-8</t>
  </si>
  <si>
    <t>LANDSVIRKJUN</t>
  </si>
  <si>
    <t>AXIS EQUIPMENT FINANCE RECEIVA</t>
  </si>
  <si>
    <t>ARBYS FUNDING LLC ARBYS_20-1A</t>
  </si>
  <si>
    <t>05377R-DL-5</t>
  </si>
  <si>
    <t>05377R-DM-3</t>
  </si>
  <si>
    <t>CCG RECEIVABLES TRUST CCG_20-1</t>
  </si>
  <si>
    <t>CCG RECEIVABLES TRUST CCG_22-1</t>
  </si>
  <si>
    <t>CARMAX AUTO OWNER TRUST CARMX_</t>
  </si>
  <si>
    <t>DELL EQUIPMENT FINANCE TRUST D Series 14</t>
  </si>
  <si>
    <t>25755T-AJ-9</t>
  </si>
  <si>
    <t>ENTERPRISE FLEET FINANCING LLC</t>
  </si>
  <si>
    <t>34528H-AC-8</t>
  </si>
  <si>
    <t>FORD CREDIT AUTO OWNER TRUST F FORDO_21-</t>
  </si>
  <si>
    <t>39154T-BE-7</t>
  </si>
  <si>
    <t>39154T-BL-1</t>
  </si>
  <si>
    <t>55400D-AB-7</t>
  </si>
  <si>
    <t>57119H-AC-4</t>
  </si>
  <si>
    <t>75884E-AB-8</t>
  </si>
  <si>
    <t>82653G-AB-8</t>
  </si>
  <si>
    <t>82653G-AC-6</t>
  </si>
  <si>
    <t>TACO BELL FUNDING BELL_21-1 Series 144A</t>
  </si>
  <si>
    <t>TAL ADVANTAGE LLC TAL_20-1A</t>
  </si>
  <si>
    <t>TESLA AUTO LEASE TRUST TESLA_2</t>
  </si>
  <si>
    <t>89680H-AB-8</t>
  </si>
  <si>
    <t>UNION PACIFIC RAILROAD CO 2015 UNION PAC</t>
  </si>
  <si>
    <t>AIR CANADA Series 144A</t>
  </si>
  <si>
    <t>AIR CANADA 2015-1 CLASS A PASS SERIES 14</t>
  </si>
  <si>
    <t>CBAM CLO MANAGEMENT CBAM_18-6A</t>
  </si>
  <si>
    <t>CBAM CLO MANAGEMENT CBAM_19-11</t>
  </si>
  <si>
    <t>14316C-AG-8</t>
  </si>
  <si>
    <t>36320M-AL-2</t>
  </si>
  <si>
    <t>GOLDENTREE LOAN OPPORTUNITIES Series 144</t>
  </si>
  <si>
    <t>MADISON PARK FUNDING LTD MDPK_ Series 14</t>
  </si>
  <si>
    <t>88315L-AL-2</t>
  </si>
  <si>
    <t>92326J-AE-2</t>
  </si>
  <si>
    <t>VENTR_19-37A Series 144A</t>
  </si>
  <si>
    <t>VOYA CLO LTD VOYA_19-4A</t>
  </si>
  <si>
    <t>Subtotal - Bonds - Affiliated Bank Loans - Issued</t>
  </si>
  <si>
    <t>1610000000</t>
  </si>
  <si>
    <t>Subtotal - Bonds - SVO Identified Funds - Exchange Traded Funds - as Identified by the SVO</t>
  </si>
  <si>
    <t>2419999999</t>
  </si>
  <si>
    <t>Total Bonds</t>
  </si>
  <si>
    <t>NAIC Designation 2</t>
  </si>
  <si>
    <t>Subtotal - Preferred Stock - Industrial and Miscellaneous (Unaffiliated) Redeemable Preferred</t>
  </si>
  <si>
    <t>SCDPT2SN1F</t>
  </si>
  <si>
    <t>5409999999</t>
  </si>
  <si>
    <t>5719999999</t>
  </si>
  <si>
    <t>5979999999</t>
  </si>
  <si>
    <t>CNA FINANCIAL CORP    3.900% 05/01/29</t>
  </si>
  <si>
    <t>1100000077</t>
  </si>
  <si>
    <t>HUMANA INC    3.700% 03/23/29</t>
  </si>
  <si>
    <t>1100000088</t>
  </si>
  <si>
    <t>1100000095</t>
  </si>
  <si>
    <t>UBS WARBURG LLC</t>
  </si>
  <si>
    <t>JANE STREET</t>
  </si>
  <si>
    <t>1100000099</t>
  </si>
  <si>
    <t>LIDL US LLC    4.520% 09/01/29</t>
  </si>
  <si>
    <t>1100000168</t>
  </si>
  <si>
    <t>1300000000</t>
  </si>
  <si>
    <t>2509999998</t>
  </si>
  <si>
    <t>Total - Bonds</t>
  </si>
  <si>
    <t>Total - Common Stocks - Part 3</t>
  </si>
  <si>
    <t>LONG BEACH CALIF UNI SCH DIST</t>
  </si>
  <si>
    <t>INDIANA ST FINANCE AUTHORITY</t>
  </si>
  <si>
    <t>KS</t>
  </si>
  <si>
    <t>AFLAC INC    3.625% 11/15/24</t>
  </si>
  <si>
    <t>HQD377W2YR662HK5JX27</t>
  </si>
  <si>
    <t>BLACKROCK INC BLACKROCK INC</t>
  </si>
  <si>
    <t>CCG RECEIVABLES TRUST CCG_19-1 Series 14</t>
  </si>
  <si>
    <t>CVS HEALTH CORP    4.100% 03/25/25</t>
  </si>
  <si>
    <t>EASTMAN CHEMICAL CO</t>
  </si>
  <si>
    <t>GMCAR_18-4</t>
  </si>
  <si>
    <t>41242*-AW-2</t>
  </si>
  <si>
    <t>HERSHEY COMPANY THE</t>
  </si>
  <si>
    <t>458140-BD-1</t>
  </si>
  <si>
    <t>469814-A*-8</t>
  </si>
  <si>
    <t>JACOBS ENGR GRP INC. JACOBS ENGINEERING</t>
  </si>
  <si>
    <t>MPLX LP    3.375% 03/15/23</t>
  </si>
  <si>
    <t>Call      101.6720</t>
  </si>
  <si>
    <t>2YD5STGSJNMUB7H76907</t>
  </si>
  <si>
    <t>MOSAIC CO</t>
  </si>
  <si>
    <t>1100000179</t>
  </si>
  <si>
    <t>741503-BB-1</t>
  </si>
  <si>
    <t>1100000186</t>
  </si>
  <si>
    <t>776743-AE-6</t>
  </si>
  <si>
    <t>SCHLUMBERGER HOLDINGS CORP</t>
  </si>
  <si>
    <t>Z15BMIOX8DDH0X2OBP21</t>
  </si>
  <si>
    <t>1100000197</t>
  </si>
  <si>
    <t>44962L-AG-2</t>
  </si>
  <si>
    <t>1100000259</t>
  </si>
  <si>
    <t>85771P-AG-7</t>
  </si>
  <si>
    <t>1100000277</t>
  </si>
  <si>
    <t>JOHN WOOD GROUP PLC    4.870% 07/02/22</t>
  </si>
  <si>
    <t>549300PLYY6I10B6S323</t>
  </si>
  <si>
    <t>549300DEJZCPWA4HKM93</t>
  </si>
  <si>
    <t>0899999</t>
  </si>
  <si>
    <t>1099999</t>
  </si>
  <si>
    <t>1400000</t>
  </si>
  <si>
    <t xml:space="preserve">Stock in Lower Tier Company Owned Indirectly by Insurer on Statement Date: % of Outstanding </t>
  </si>
  <si>
    <t xml:space="preserve">NAIC Designation </t>
  </si>
  <si>
    <t xml:space="preserve">Current Year's (Amortization)/Accretion </t>
  </si>
  <si>
    <t xml:space="preserve">Interest: Rate of </t>
  </si>
  <si>
    <t xml:space="preserve">Date Acquired </t>
  </si>
  <si>
    <t xml:space="preserve">ISIN Identification </t>
  </si>
  <si>
    <t xml:space="preserve">Print - NAIC Designation, NAIC Designation Modifier and SVO Administrative Symbol </t>
  </si>
  <si>
    <t>US TREASURY TREASURY BOND</t>
  </si>
  <si>
    <t>1.A</t>
  </si>
  <si>
    <t>US TREASURY TREASURY NOTE</t>
  </si>
  <si>
    <t>MASSACHUSETTS ST</t>
  </si>
  <si>
    <t>68587F-BC-7</t>
  </si>
  <si>
    <t>68587F-BD-5</t>
  </si>
  <si>
    <t>0610000004</t>
  </si>
  <si>
    <t>SAN DIEGO CA UNIF SCH DIST</t>
  </si>
  <si>
    <t>0610000011</t>
  </si>
  <si>
    <t>0629999999</t>
  </si>
  <si>
    <t>ALABAMA FEDERAL AID HIGHWAY FI</t>
  </si>
  <si>
    <t>ARIZONA BRD REGENTS</t>
  </si>
  <si>
    <t>13077D-MU-3</t>
  </si>
  <si>
    <t>COMMONWEALTH FING AUTH PA</t>
  </si>
  <si>
    <t>451913-AJ-6</t>
  </si>
  <si>
    <t>798153-NF-5</t>
  </si>
  <si>
    <t>SAN JOSE CALIF FING AUTH</t>
  </si>
  <si>
    <t>798153-NG-3</t>
  </si>
  <si>
    <t>798153-NH-1</t>
  </si>
  <si>
    <t>TAMPA-HILLSBOROUGH CNTY FLA EX</t>
  </si>
  <si>
    <t>UTAH TRANSIT AUTH</t>
  </si>
  <si>
    <t>0810000069</t>
  </si>
  <si>
    <t>00751Y-AE-6</t>
  </si>
  <si>
    <t>009158-AY-2</t>
  </si>
  <si>
    <t>031162-DD-9</t>
  </si>
  <si>
    <t>ARTHUR J GALLAGHER &amp; CO</t>
  </si>
  <si>
    <t>04685A-2J-9</t>
  </si>
  <si>
    <t>05552J-AA-7</t>
  </si>
  <si>
    <t>BANK OF NEW YORK MELLON CORP/T</t>
  </si>
  <si>
    <t>BLACKSTONE PRIVATE CREDIT FUND</t>
  </si>
  <si>
    <t>125523-AG-5</t>
  </si>
  <si>
    <t>CAPITAL ONE FINANCIAL CORP</t>
  </si>
  <si>
    <t>14040H-CS-2</t>
  </si>
  <si>
    <t>CARGILL INC Series 144A</t>
  </si>
  <si>
    <t>CARGILL INC</t>
  </si>
  <si>
    <t>15089Q-AJ-3</t>
  </si>
  <si>
    <t>CENTERPOINT ENERGY INC</t>
  </si>
  <si>
    <t>CENTRAL HUDSON GAS &amp; ELEC CENTRAL HUDSON</t>
  </si>
  <si>
    <t>153609-H@-4</t>
  </si>
  <si>
    <t>16829@-AD-5</t>
  </si>
  <si>
    <t>16829@-AE-3</t>
  </si>
  <si>
    <t>CONTINENTAL RESOURCES INC.</t>
  </si>
  <si>
    <t>144A - Pvt Hghly Mktble</t>
  </si>
  <si>
    <t>254687-FK-7</t>
  </si>
  <si>
    <t>256746-AG-3</t>
  </si>
  <si>
    <t>27409L-A*-4</t>
  </si>
  <si>
    <t>0NZWDMRCE180888QQE14</t>
  </si>
  <si>
    <t>EMORY UNIVERSITY</t>
  </si>
  <si>
    <t>29444U-BG-0</t>
  </si>
  <si>
    <t>31677Q-BM-0</t>
  </si>
  <si>
    <t>345397-A4-5</t>
  </si>
  <si>
    <t>GENERAL DYNAMICS CORPORATION</t>
  </si>
  <si>
    <t>GLAXOSK CAP INC</t>
  </si>
  <si>
    <t>549300NOMHGVQBX6S778</t>
  </si>
  <si>
    <t>40139L-AH-6</t>
  </si>
  <si>
    <t>444859-BD-3</t>
  </si>
  <si>
    <t>LAMAR MEDIA CORP.</t>
  </si>
  <si>
    <t>LINCOLN NATIONAL CORPORATION</t>
  </si>
  <si>
    <t>3.A PL</t>
  </si>
  <si>
    <t>571748-BF-8</t>
  </si>
  <si>
    <t>54930073LBBH6ZCBE225</t>
  </si>
  <si>
    <t>MURPHY OIL USA INC Series 144A</t>
  </si>
  <si>
    <t>NATIONAL BASKETBALL ASSOCIATIO NATIONAL</t>
  </si>
  <si>
    <t>NATIONAL FUEL GAS CO</t>
  </si>
  <si>
    <t>67022*-AJ-2</t>
  </si>
  <si>
    <t>670346-AR-6</t>
  </si>
  <si>
    <t>NUCOR CORPORATION</t>
  </si>
  <si>
    <t>549300HXDWI0LATTX840</t>
  </si>
  <si>
    <t>BOOKING HOLDINGS INC</t>
  </si>
  <si>
    <t>RAYBURN CTRY SEC LLC Series 144A</t>
  </si>
  <si>
    <t>RELIANCE STEEL &amp; ALUMINUM CO</t>
  </si>
  <si>
    <t>RESMED INC</t>
  </si>
  <si>
    <t>Y6X4K52KMJMZE7I7MY94</t>
  </si>
  <si>
    <t>CHARLES SCHWAB CORPORATION (TH</t>
  </si>
  <si>
    <t>549300HFEKVR3US71V91</t>
  </si>
  <si>
    <t>89236T-DW-2</t>
  </si>
  <si>
    <t>902691-C*-3</t>
  </si>
  <si>
    <t>UGI UTIL, INC.</t>
  </si>
  <si>
    <t>VF CORPORATION</t>
  </si>
  <si>
    <t>CWAJJ9DJ5Z7P057HV541</t>
  </si>
  <si>
    <t>95000U-2K-8</t>
  </si>
  <si>
    <t>960386-AN-0</t>
  </si>
  <si>
    <t>WESTLAKE CHEMICAL CORP</t>
  </si>
  <si>
    <t>97786#-AN-2</t>
  </si>
  <si>
    <t>NUTRIEN LTD</t>
  </si>
  <si>
    <t>AERCAP IRELAND CAPITAL LTD / A AERCAP IR</t>
  </si>
  <si>
    <t>635400ZRKEX9L1BKCH30</t>
  </si>
  <si>
    <t>05583J-AH-5</t>
  </si>
  <si>
    <t>CK HUTCHISON INTERNATIONAL (17</t>
  </si>
  <si>
    <t>COMMONWEALTH BANK AUSTRALIA</t>
  </si>
  <si>
    <t>CREDIT AGRICOLE SA Series 144A</t>
  </si>
  <si>
    <t>CREDIT AGRICOLE SA</t>
  </si>
  <si>
    <t>43761A-B#-2</t>
  </si>
  <si>
    <t>KIMBERLY-CLARK DE MEXICO  S.A.</t>
  </si>
  <si>
    <t>MIZUHO FINANCIAL GROUP INC</t>
  </si>
  <si>
    <t>62947Q-BA-5</t>
  </si>
  <si>
    <t>NXP BV/NXP FUNDING LLC/NXP USA NXP BV /</t>
  </si>
  <si>
    <t>NXP BV / NXP FUNDING LLC / NXP</t>
  </si>
  <si>
    <t>549300KO1OQ4MVFB6X02</t>
  </si>
  <si>
    <t>874060-AT-3</t>
  </si>
  <si>
    <t>549300ZLMVP4X0OGR454</t>
  </si>
  <si>
    <t>902613-AP-3</t>
  </si>
  <si>
    <t>961214-FC-2</t>
  </si>
  <si>
    <t>YE</t>
  </si>
  <si>
    <t>ARI FLEET LEASE TRUST ARIFL_21</t>
  </si>
  <si>
    <t>1040000004</t>
  </si>
  <si>
    <t>1040000008</t>
  </si>
  <si>
    <t>1040000011</t>
  </si>
  <si>
    <t>05377R-CZ-5</t>
  </si>
  <si>
    <t>1040000015</t>
  </si>
  <si>
    <t>1040000022</t>
  </si>
  <si>
    <t>12510F-AC-8</t>
  </si>
  <si>
    <t>12510F-AD-6</t>
  </si>
  <si>
    <t>12511E-AG-1</t>
  </si>
  <si>
    <t>1040000033</t>
  </si>
  <si>
    <t>14316N-AF-6</t>
  </si>
  <si>
    <t>1040000040</t>
  </si>
  <si>
    <t>DRIVEN BRANDS FUNDING LLC HONK</t>
  </si>
  <si>
    <t>26209X-AF-8</t>
  </si>
  <si>
    <t>FORD CREDIT AUTO LEASE TRUST F</t>
  </si>
  <si>
    <t>34532N-AF-2</t>
  </si>
  <si>
    <t>GM FINANCIAL SECURITIZED TERM GM FINANCI</t>
  </si>
  <si>
    <t>GM FINANCIAL REVOLVING RECEIVA Series 14</t>
  </si>
  <si>
    <t>36266F-AF-6</t>
  </si>
  <si>
    <t>GM FINANCIAL CONSUMER AUTOMOBI GMCAR_22-</t>
  </si>
  <si>
    <t>1040000102</t>
  </si>
  <si>
    <t>1040000106</t>
  </si>
  <si>
    <t>MMAF EQUIPMENT FINANCE LLC MMA Series 14</t>
  </si>
  <si>
    <t>1040000113</t>
  </si>
  <si>
    <t>55400D-AA-9</t>
  </si>
  <si>
    <t>1040000120</t>
  </si>
  <si>
    <t>55400U-AA-1</t>
  </si>
  <si>
    <t>1040000124</t>
  </si>
  <si>
    <t>62946A-AC-8</t>
  </si>
  <si>
    <t>1040000131</t>
  </si>
  <si>
    <t>SIERRA TIMESHARE RECEIVABLES F</t>
  </si>
  <si>
    <t>1040000142</t>
  </si>
  <si>
    <t>82653E-AB-3</t>
  </si>
  <si>
    <t>82653E-AC-1</t>
  </si>
  <si>
    <t>88167H-AG-1</t>
  </si>
  <si>
    <t>88315L-AE-8</t>
  </si>
  <si>
    <t>TEXTAINER MARINE CONTAINERS LT</t>
  </si>
  <si>
    <t>TRITON CONTAINER FINANCE LLC T</t>
  </si>
  <si>
    <t>BLACKBIRD CAPITAL AIRCRAFT BBI Series 14</t>
  </si>
  <si>
    <t>CBAM CLO MANAGEMENT CBAM_19-11 Series 14</t>
  </si>
  <si>
    <t>CARLYLE GLOBAL MARKET STRATEGI Series 14</t>
  </si>
  <si>
    <t>1040000200</t>
  </si>
  <si>
    <t>1040000204</t>
  </si>
  <si>
    <t>1040000211</t>
  </si>
  <si>
    <t>1040000215</t>
  </si>
  <si>
    <t>1040000222</t>
  </si>
  <si>
    <t>1109999999</t>
  </si>
  <si>
    <t>Subtotal - Bonds - Hybrid Securities - Residential Mortgage-Backed Securities</t>
  </si>
  <si>
    <t>1419999999</t>
  </si>
  <si>
    <t>2469999999</t>
  </si>
  <si>
    <t>NAIC Designation 6</t>
  </si>
  <si>
    <t>4409999999</t>
  </si>
  <si>
    <t>Subtotal - Common Stocks - Closed-End Funds - Designations Assigned by the SVO</t>
  </si>
  <si>
    <t>5819999999</t>
  </si>
  <si>
    <t>0300000000</t>
  </si>
  <si>
    <t>AUTODESK INC    2.850% 01/15/30</t>
  </si>
  <si>
    <t>TEXTRON INC    3.000% 06/01/30</t>
  </si>
  <si>
    <t>TORONTO DOMINION</t>
  </si>
  <si>
    <t>LIDL US LLC    4.460% 09/01/27</t>
  </si>
  <si>
    <t xml:space="preserve">Prior Year Book/Adjusted Carrying Value </t>
  </si>
  <si>
    <t xml:space="preserve">Book/Adjusted Carrying Value at Disposal Date </t>
  </si>
  <si>
    <t>JERSEY CITY N J</t>
  </si>
  <si>
    <t>0700000003</t>
  </si>
  <si>
    <t>001055-AP-7</t>
  </si>
  <si>
    <t>ZXTILKJKG63JELOEG630</t>
  </si>
  <si>
    <t>AMGEN INC    3.625% 05/22/24</t>
  </si>
  <si>
    <t>Paydown</t>
  </si>
  <si>
    <t>ATHENE GLOBAL FUNDING    4.000% 01/25/22</t>
  </si>
  <si>
    <t>11135F-AZ-4</t>
  </si>
  <si>
    <t>HCTKJGUQOPZ5NBK7NP58</t>
  </si>
  <si>
    <t>CLEARBRIDGE ENERGY MLP OPPORTU CLEARBRID</t>
  </si>
  <si>
    <t>EASTMAN CHEMICAL COMPANY EASTMAN CHEMICA</t>
  </si>
  <si>
    <t>EASTMAN CHEMICAL COMPANY</t>
  </si>
  <si>
    <t>36259P-AH-9</t>
  </si>
  <si>
    <t>375558-BL-6</t>
  </si>
  <si>
    <t>GILEAD SCIENCES INC    2.500% 09/01/23</t>
  </si>
  <si>
    <t>39154T-AZ-1</t>
  </si>
  <si>
    <t>HUMANA INC HUMANA INC    3.150% 12/01/22</t>
  </si>
  <si>
    <t>458140-AR-1</t>
  </si>
  <si>
    <t>JPMORGAN CHASE &amp; CO    3.797% 07/23/24</t>
  </si>
  <si>
    <t>DPRBOZP0K5RM2YE8UU08</t>
  </si>
  <si>
    <t>LTRAN_15-1A    2.980% 01/15/45</t>
  </si>
  <si>
    <t>8DF36O58U3QIHUCGZB18</t>
  </si>
  <si>
    <t>MESIROW &amp; COMPANY</t>
  </si>
  <si>
    <t>747525-AT-0</t>
  </si>
  <si>
    <t>STEEL DYNAMICS INC</t>
  </si>
  <si>
    <t>87236Y-AE-8</t>
  </si>
  <si>
    <t>TD AMERITRADE HOLDING CORP</t>
  </si>
  <si>
    <t>VERIZON OWNER TRUST VZOT_19-A</t>
  </si>
  <si>
    <t>WELLS FARGO &amp; COMPANY    3.750% 01/24/24</t>
  </si>
  <si>
    <t>ALIBABA GROUP HOLDING LTD</t>
  </si>
  <si>
    <t>EDP FINANCE BV</t>
  </si>
  <si>
    <t>SHIRE ACQUISITIONS INVESTMENTS</t>
  </si>
  <si>
    <t>86562M-BV-1</t>
  </si>
  <si>
    <t>JOHN WOOD GROUP PLC</t>
  </si>
  <si>
    <t xml:space="preserve">Cusip Identification </t>
  </si>
  <si>
    <t>89236T-KD-6</t>
  </si>
  <si>
    <t xml:space="preserve">ID Number </t>
  </si>
  <si>
    <t>0299999</t>
  </si>
  <si>
    <t>0600000</t>
  </si>
  <si>
    <t>Subtotal - Preferred Stock - Investment Sub</t>
  </si>
  <si>
    <t>Total Preferred Stocks</t>
  </si>
  <si>
    <t>8BIV</t>
  </si>
  <si>
    <t>Subtotal - Common Stock</t>
  </si>
  <si>
    <t>Total</t>
  </si>
  <si>
    <t xml:space="preserve">Current Year's Other-Than-Temporary Impairment Recognized </t>
  </si>
  <si>
    <t>-</t>
  </si>
  <si>
    <t>1</t>
  </si>
  <si>
    <t>0040000000</t>
  </si>
  <si>
    <t>0109999999</t>
  </si>
  <si>
    <t>HI</t>
  </si>
  <si>
    <t>OREGON CMNTY COLLEGE DISTS</t>
  </si>
  <si>
    <t>0419999999</t>
  </si>
  <si>
    <t>OXNARD CALIF SCH DIST</t>
  </si>
  <si>
    <t>POWAY CALIF UNI SCH DIST</t>
  </si>
  <si>
    <t>0610000008</t>
  </si>
  <si>
    <t>SAN DIEGO CA UNIF SCH DIST SAN DIEGO UNI</t>
  </si>
  <si>
    <t>AUBURN UNIVERSITY</t>
  </si>
  <si>
    <t>072024-XJ-6</t>
  </si>
  <si>
    <t>COMMONWEALTH FING AUTH PA COMMONWEALTH F</t>
  </si>
  <si>
    <t>TX</t>
  </si>
  <si>
    <t>LA</t>
  </si>
  <si>
    <t>64971W-F5-4</t>
  </si>
  <si>
    <t>64990F-E2-6</t>
  </si>
  <si>
    <t>64990F-E3-4</t>
  </si>
  <si>
    <t>NEW YORK ST DORM AUTH ST PERS</t>
  </si>
  <si>
    <t>SEATTLE CHILDRENS HOSPITAL</t>
  </si>
  <si>
    <t>88213A-HL-2</t>
  </si>
  <si>
    <t>TUCSON AZ COPS</t>
  </si>
  <si>
    <t>917567-GJ-2</t>
  </si>
  <si>
    <t>97705M-QN-8</t>
  </si>
  <si>
    <t>Subtotal - Bonds - U.S. Special Revenues - Residential Mortgage-Backed Securities</t>
  </si>
  <si>
    <t>1010000002</t>
  </si>
  <si>
    <t>CZCBJZWDMLTHWJDXU843</t>
  </si>
  <si>
    <t>1010000006</t>
  </si>
  <si>
    <t>MWKQ3I0U1GXP2YDSZW75</t>
  </si>
  <si>
    <t>1010000013</t>
  </si>
  <si>
    <t>025816-CF-4</t>
  </si>
  <si>
    <t>1010000020</t>
  </si>
  <si>
    <t>AMERISOURCEBERGEN CORP</t>
  </si>
  <si>
    <t>03076C-AH-9</t>
  </si>
  <si>
    <t>6ZLKQF7QB6JAEKQS5388</t>
  </si>
  <si>
    <t>1010000024</t>
  </si>
  <si>
    <t>031162-CT-5</t>
  </si>
  <si>
    <t>1010000031</t>
  </si>
  <si>
    <t>2D</t>
  </si>
  <si>
    <t>1010000042</t>
  </si>
  <si>
    <t>05531F-BE-2</t>
  </si>
  <si>
    <t>06406R-BM-8</t>
  </si>
  <si>
    <t>071813-CS-6</t>
  </si>
  <si>
    <t>07274N-AJ-2</t>
  </si>
  <si>
    <t>W8J5WZB5IY3K0NDQT671</t>
  </si>
  <si>
    <t>09951L-AB-9</t>
  </si>
  <si>
    <t>101137-AW-7</t>
  </si>
  <si>
    <t>CSLB HOLDINGS INC</t>
  </si>
  <si>
    <t>12656*-AQ-5</t>
  </si>
  <si>
    <t>1010000100</t>
  </si>
  <si>
    <t>CENTENE CORP</t>
  </si>
  <si>
    <t>1010000104</t>
  </si>
  <si>
    <t>15189T-AW-7</t>
  </si>
  <si>
    <t>1010000111</t>
  </si>
  <si>
    <t>1010000115</t>
  </si>
  <si>
    <t>172967-NE-7</t>
  </si>
  <si>
    <t>1010000122</t>
  </si>
  <si>
    <t>CITIZENS FINANCIAL GROUP INC CITIZENS FI</t>
  </si>
  <si>
    <t>1010000133</t>
  </si>
  <si>
    <t>20825C-AW-4</t>
  </si>
  <si>
    <t>1010000140</t>
  </si>
  <si>
    <t>232806-A@-8</t>
  </si>
  <si>
    <t>233331-AW-7</t>
  </si>
  <si>
    <t>DTE ENERGY CO</t>
  </si>
  <si>
    <t>0O4KBQCJZX82UKGCBV73</t>
  </si>
  <si>
    <t>29278N-AH-6</t>
  </si>
  <si>
    <t>ENERGY TRANSFER OPERATING LP</t>
  </si>
  <si>
    <t>EQUINIX INC</t>
  </si>
  <si>
    <t>29449W-AA-5</t>
  </si>
  <si>
    <t>EQUITABLE FINANCIAL LIFE INSUR Series 14</t>
  </si>
  <si>
    <t>337738-BB-3</t>
  </si>
  <si>
    <t>FLORIDA GAS TRANSMISSION</t>
  </si>
  <si>
    <t>34490@-AC-8</t>
  </si>
  <si>
    <t>1010000202</t>
  </si>
  <si>
    <t>35137L-AG-0</t>
  </si>
  <si>
    <t>GATX CORPORATION</t>
  </si>
  <si>
    <t>1010000206</t>
  </si>
  <si>
    <t>GENERAL DYNAMICS CORP GENERAL DYNAMICS C</t>
  </si>
  <si>
    <t>L2EVHWFHVAQK72TMH265</t>
  </si>
  <si>
    <t>1010000213</t>
  </si>
  <si>
    <t>GLAXOSMITHKLINE CAPITAL INC</t>
  </si>
  <si>
    <t>GLOBAL PAYMENTS INC.</t>
  </si>
  <si>
    <t>1010000220</t>
  </si>
  <si>
    <t>HCA THE HEALTHCARE CO Series 144A</t>
  </si>
  <si>
    <t>1010000224</t>
  </si>
  <si>
    <t>1010000231</t>
  </si>
  <si>
    <t>549300BX44RGX6ANDV88</t>
  </si>
  <si>
    <t>PKSTQ48QDN0XSVS7YK88</t>
  </si>
  <si>
    <t>459200-KU-4</t>
  </si>
  <si>
    <t>49326E-EK-5</t>
  </si>
  <si>
    <t>KROGER CO</t>
  </si>
  <si>
    <t>512807-AV-0</t>
  </si>
  <si>
    <t>M&amp;T BANK CORPORATION</t>
  </si>
  <si>
    <t>573284-AQ-9</t>
  </si>
  <si>
    <t>AR5L2ODV9HN37376R084</t>
  </si>
  <si>
    <t>549300JQQA6MQ4OJP259</t>
  </si>
  <si>
    <t>1.E PL</t>
  </si>
  <si>
    <t>MICRON TECHNOLOGY INC</t>
  </si>
  <si>
    <t>59833C-AA-0</t>
  </si>
  <si>
    <t>1010000300</t>
  </si>
  <si>
    <t>1010000304</t>
  </si>
  <si>
    <t>61746B-DQ-6</t>
  </si>
  <si>
    <t>1010000311</t>
  </si>
  <si>
    <t>1010000315</t>
  </si>
  <si>
    <t>63486*-AA-9</t>
  </si>
  <si>
    <t>NATIONAL FUEL GAS COMPANY NATIONAL FUEL</t>
  </si>
  <si>
    <t>63636#-AA-4</t>
  </si>
  <si>
    <t>1010000322</t>
  </si>
  <si>
    <t>1010000340</t>
  </si>
  <si>
    <t>NUCOR CORP</t>
  </si>
  <si>
    <t>ONE GAS INC</t>
  </si>
  <si>
    <t>693475-AX-3</t>
  </si>
  <si>
    <t>PNC FINANCIAL SERVICES GROUP I</t>
  </si>
  <si>
    <t>693656-AC-4</t>
  </si>
  <si>
    <t>1.E</t>
  </si>
  <si>
    <t>745310-AM-4</t>
  </si>
  <si>
    <t>549300RCBFWIRX3HYQ56</t>
  </si>
  <si>
    <t>ROPER IND INC</t>
  </si>
  <si>
    <t>78433L-AA-4</t>
  </si>
  <si>
    <t>549300DJYWYT5VXLFA46</t>
  </si>
  <si>
    <t>SOUTH JERSEY IND INC</t>
  </si>
  <si>
    <t>SOUTH JERSEY INDUSTRIES INC</t>
  </si>
  <si>
    <t>2.C</t>
  </si>
  <si>
    <t>1010000402</t>
  </si>
  <si>
    <t>1010000406</t>
  </si>
  <si>
    <t>86944B-AG-8</t>
  </si>
  <si>
    <t>1010000413</t>
  </si>
  <si>
    <t>87612B-BS-0</t>
  </si>
  <si>
    <t>88579Y-BB-6</t>
  </si>
  <si>
    <t>1010000420</t>
  </si>
  <si>
    <t>1010000431</t>
  </si>
  <si>
    <t>D01LMJZU09ULLNCY6Z23</t>
  </si>
  <si>
    <t>VALERO ENERGY CORP VALERO ENERGY CORPORA</t>
  </si>
  <si>
    <t>92343V-GJ-7</t>
  </si>
  <si>
    <t>VULCAN MATERIALS COMPANY</t>
  </si>
  <si>
    <t>06BTX5UWZD0GQ5N5Y745</t>
  </si>
  <si>
    <t>WESTINGHOUSE AIR BRAKE TECHNOL WESTINGHO</t>
  </si>
  <si>
    <t>549300YGRJZJKXSMLV21</t>
  </si>
  <si>
    <t>2.C PL</t>
  </si>
  <si>
    <t>AERCAP IRELAND CAP/GLOBA</t>
  </si>
  <si>
    <t>1010000500</t>
  </si>
  <si>
    <t>05583J-AG-7</t>
  </si>
  <si>
    <t>1010000504</t>
  </si>
  <si>
    <t>549300R32WTQNHNN5055</t>
  </si>
  <si>
    <t>1010000511</t>
  </si>
  <si>
    <t>12563X-AB-7</t>
  </si>
  <si>
    <t>CLEANAWAY WASTE MANAGEMENT LTD</t>
  </si>
  <si>
    <t>1010000515</t>
  </si>
  <si>
    <t>CREDIT AGRICOLE CORPORATE AND</t>
  </si>
  <si>
    <t>EXPORT-IMPORT BANK OF KOREA</t>
  </si>
  <si>
    <t>1010000522</t>
  </si>
  <si>
    <t>HUTCHISON WHAMPOA FIN CI LTD</t>
  </si>
  <si>
    <t>144A</t>
  </si>
  <si>
    <t>494386-AC-9</t>
  </si>
  <si>
    <t>1010000540</t>
  </si>
  <si>
    <t>NXP BV/NXP FUNDING LLC/NXP USA</t>
  </si>
  <si>
    <t>62954H-BE-7</t>
  </si>
  <si>
    <t>92857W-BJ-8</t>
  </si>
  <si>
    <t>213800TB53ELEUKM7Q61</t>
  </si>
  <si>
    <t>980236-AP-8</t>
  </si>
  <si>
    <t>WOODSIDE FIN LTD</t>
  </si>
  <si>
    <t>G2616#-AF-8</t>
  </si>
  <si>
    <t>G7304*-AD-3</t>
  </si>
  <si>
    <t>X5151*-AE-0</t>
  </si>
  <si>
    <t>00217F-AE-5</t>
  </si>
  <si>
    <t>1040000019</t>
  </si>
  <si>
    <t>549300R4HW4HQYM9LE23</t>
  </si>
  <si>
    <t>1040000026</t>
  </si>
  <si>
    <t>CCG RECEIVABLES TRUST CCG_21-1 Series 14</t>
  </si>
  <si>
    <t>1040000037</t>
  </si>
  <si>
    <t>1040000044</t>
  </si>
  <si>
    <t>1040000048</t>
  </si>
  <si>
    <t>1040000051</t>
  </si>
  <si>
    <t>DOMINOS PIZZA MASTER ISSUER LL</t>
  </si>
  <si>
    <t>1040000055</t>
  </si>
  <si>
    <t>1040000059</t>
  </si>
  <si>
    <t>1040000062</t>
  </si>
  <si>
    <t>1040000066</t>
  </si>
  <si>
    <t>361528-AA-0</t>
  </si>
  <si>
    <t>1040000073</t>
  </si>
  <si>
    <t>GM FINANCIAL AUTOMOBILE LEASIN</t>
  </si>
  <si>
    <t>1040000080</t>
  </si>
  <si>
    <t>GMCAR_22-1</t>
  </si>
  <si>
    <t>1040000084</t>
  </si>
  <si>
    <t>HPEFS EQUIPMENT TRUST HPEFS_22</t>
  </si>
  <si>
    <t>1040000091</t>
  </si>
  <si>
    <t>55389T-AB-7</t>
  </si>
  <si>
    <t>55389T-AC-5</t>
  </si>
  <si>
    <t>MVW OWNER TRUST MVWOT_20-1A</t>
  </si>
  <si>
    <t>1040000117</t>
  </si>
  <si>
    <t>MVW OWNER TRUST MVWOT_22-1 Series 144A</t>
  </si>
  <si>
    <t>1040000128</t>
  </si>
  <si>
    <t>60700M-AE-8</t>
  </si>
  <si>
    <t>ORANGE LAKE TIMESHARE TRUST ON Series 14</t>
  </si>
  <si>
    <t>REGATTA XVIII FUNDING LTD REG1</t>
  </si>
  <si>
    <t>1040000135</t>
  </si>
  <si>
    <t>1040000139</t>
  </si>
  <si>
    <t>78403D-AV-2</t>
  </si>
  <si>
    <t>1040000146</t>
  </si>
  <si>
    <t>1040000153</t>
  </si>
  <si>
    <t>1040000157</t>
  </si>
  <si>
    <t>83546D-AQ-1</t>
  </si>
  <si>
    <t>1040000160</t>
  </si>
  <si>
    <t>872480-AE-8</t>
  </si>
  <si>
    <t>1040000164</t>
  </si>
  <si>
    <t>TOYOTA AUTO LOAN EXTENDED NOTE</t>
  </si>
  <si>
    <t>1040000168</t>
  </si>
  <si>
    <t>1040000171</t>
  </si>
  <si>
    <t>95058X-AG-3</t>
  </si>
  <si>
    <t>1040000175</t>
  </si>
  <si>
    <t>WEPCO ENVIRONMENTAL TRUST FINA</t>
  </si>
  <si>
    <t>1040000182</t>
  </si>
  <si>
    <t>APIDOS CLO APID_20-33A Series 144A</t>
  </si>
  <si>
    <t>CBAM CLO MANAGEMENT CBAM_18-6A Series 14</t>
  </si>
  <si>
    <t>1040000193</t>
  </si>
  <si>
    <t>150323-BC-6</t>
  </si>
  <si>
    <t>DRYDEN SENIOR LOAN FUND DRSLF_</t>
  </si>
  <si>
    <t>1040000208</t>
  </si>
  <si>
    <t>1040000219</t>
  </si>
  <si>
    <t>VOYA CLO LTD VOYA_13-1A</t>
  </si>
  <si>
    <t>1450000000</t>
  </si>
  <si>
    <t>1469999999</t>
  </si>
  <si>
    <t>1810000000</t>
  </si>
  <si>
    <t>1829999999</t>
  </si>
  <si>
    <t>Total - Unaffiliated Bank Loans</t>
  </si>
  <si>
    <t>4509999999</t>
  </si>
  <si>
    <t>5020000000</t>
  </si>
  <si>
    <t>Subtotal - Common Stock - Industrial and Miscellaneous (Unaffiliated) Other</t>
  </si>
  <si>
    <t>Total - Common Stock - Industrial and Miscellaneous (Unaffiliated)</t>
  </si>
  <si>
    <t>Total - Common Stocks - Mutual Funds</t>
  </si>
  <si>
    <t>5609999999</t>
  </si>
  <si>
    <t>5919999999</t>
  </si>
  <si>
    <t>Subtotal - Bonds - U.S. Governments</t>
  </si>
  <si>
    <t>1100000001</t>
  </si>
  <si>
    <t>JEFFRIES &amp; COMPANY INC</t>
  </si>
  <si>
    <t>1100000005</t>
  </si>
  <si>
    <t>J.P. MORGAN SECURITIES INC</t>
  </si>
  <si>
    <t>1100000012</t>
  </si>
  <si>
    <t>1100000016</t>
  </si>
  <si>
    <t>ASSURANT INC    2.650% 01/15/32</t>
  </si>
  <si>
    <t>1100000023</t>
  </si>
  <si>
    <t>1100000030</t>
  </si>
  <si>
    <t>1100000041</t>
  </si>
  <si>
    <t>JPMORGAN CHASE &amp; CO    4.323% 04/26/28</t>
  </si>
  <si>
    <t>1100000103</t>
  </si>
  <si>
    <t>1100000107</t>
  </si>
  <si>
    <t>1100000110</t>
  </si>
  <si>
    <t>MORGAN STANLEY    4.210% 04/20/28</t>
  </si>
  <si>
    <t>1100000114</t>
  </si>
  <si>
    <t>ONE GAS INC    4.250% 09/01/32</t>
  </si>
  <si>
    <t>1100000121</t>
  </si>
  <si>
    <t>1100000132</t>
  </si>
  <si>
    <t>1100000150</t>
  </si>
  <si>
    <t>1500000000</t>
  </si>
  <si>
    <t>Subtotal - Preferred Stocks - Parent, Subsidiaries and Affiliates Perpetual Preferred</t>
  </si>
  <si>
    <t>Subtotal - Common Stocks - Industrial and Miscellaneous (Unaffiliated) Other</t>
  </si>
  <si>
    <t>Subtotal - Common Stocks - Parent, Subsidiaries and Affiliates Publicly Traded</t>
  </si>
  <si>
    <t xml:space="preserve">Foreign Exchange Gain (Loss) on Disposal </t>
  </si>
  <si>
    <t>INDIANA ST FIN AUTH REV</t>
  </si>
  <si>
    <t>AETNA INC AETNA INC    2.750% 11/15/22</t>
  </si>
  <si>
    <t>AMAZON.COM INC</t>
  </si>
  <si>
    <t>037833-CG-3</t>
  </si>
  <si>
    <t>039483-BL-5</t>
  </si>
  <si>
    <t>ARROW ELECTRONICS INC</t>
  </si>
  <si>
    <t>09247X-AJ-0</t>
  </si>
  <si>
    <t>14314X-AF-6</t>
  </si>
  <si>
    <t>14913Q-2L-2</t>
  </si>
  <si>
    <t>20825C-AV-6</t>
  </si>
  <si>
    <t>Call      100.7440</t>
  </si>
  <si>
    <t>FDPVHDGJ1IQZFK9KH630</t>
  </si>
  <si>
    <t>EATON CORPORATION    2.750% 11/02/22</t>
  </si>
  <si>
    <t>HPEFS EQUIPMENT TRUST HPEFS_19</t>
  </si>
  <si>
    <t>427866-AZ-1</t>
  </si>
  <si>
    <t>444859-BA-9</t>
  </si>
  <si>
    <t>HYUNDAI AUTO LEASE SECURITIZAT Series 14</t>
  </si>
  <si>
    <t>45866F-AG-9</t>
  </si>
  <si>
    <t>JABIL CIRCUIT INC JABIL CIRCUIT INC</t>
  </si>
  <si>
    <t>Call      100.8782</t>
  </si>
  <si>
    <t>KEURIG DR PEPPER INC    4.417% 05/25/25</t>
  </si>
  <si>
    <t>MCKESSON CORP</t>
  </si>
  <si>
    <t>NFL VENTURES LP    2.730% 04/15/31</t>
  </si>
  <si>
    <t>(MINNESOTA)</t>
  </si>
  <si>
    <t>723787-AK-3</t>
  </si>
  <si>
    <t>PIONEER NATURAL RESOURCES CO</t>
  </si>
  <si>
    <t>QUALCOMM INCORPORATED</t>
  </si>
  <si>
    <t>549300TJCKW4BRXPJ474</t>
  </si>
  <si>
    <t>ROPER IND INC    3.650% 09/15/23</t>
  </si>
  <si>
    <t>1100000201</t>
  </si>
  <si>
    <t>1100000205</t>
  </si>
  <si>
    <t>549300HGGKEL4FYTTQ83</t>
  </si>
  <si>
    <t>871829-AQ-0</t>
  </si>
  <si>
    <t>SYSCO CORPORATION</t>
  </si>
  <si>
    <t>1100000212</t>
  </si>
  <si>
    <t>1100000223</t>
  </si>
  <si>
    <t>1100000230</t>
  </si>
  <si>
    <t>1100000241</t>
  </si>
  <si>
    <t>09659W-2J-2</t>
  </si>
  <si>
    <t>Call      101.0010</t>
  </si>
  <si>
    <t>Q3393*-AK-7</t>
  </si>
  <si>
    <t>ELECTRANET    3.110% 08/18/22</t>
  </si>
  <si>
    <t>Z ENERGY LTD</t>
  </si>
  <si>
    <t>Call      103.6100</t>
  </si>
  <si>
    <t xml:space="preserve">Stock of Such Company Owned by Insurer on Statement Date: % of Outstanding </t>
  </si>
  <si>
    <t>1599999</t>
  </si>
  <si>
    <t xml:space="preserve">Name of Company Listed in Section 1 Which Controls Lower-tier Company </t>
  </si>
  <si>
    <t xml:space="preserve">Issuer </t>
  </si>
  <si>
    <t>0010000002</t>
  </si>
  <si>
    <t>SD</t>
  </si>
  <si>
    <t>0010000006</t>
  </si>
  <si>
    <t>0010000013</t>
  </si>
  <si>
    <t>912828-VS-6</t>
  </si>
  <si>
    <t>Subtotal - Bonds - All Other Governments - Commercial Mortgage-Backed Securities</t>
  </si>
  <si>
    <t>0410000001</t>
  </si>
  <si>
    <t>0410000005</t>
  </si>
  <si>
    <t>OREGON EDU DISTS FULL FAITH</t>
  </si>
  <si>
    <t>PA</t>
  </si>
  <si>
    <t>Subtotal - Bonds - U.S. Political Subdivisions - Issuer Obligations</t>
  </si>
  <si>
    <t>Subtotal - Bonds - U.S. Political Subdivisions - Residential Mortgage-Backed Securities</t>
  </si>
  <si>
    <t>0810000004</t>
  </si>
  <si>
    <t>AZ</t>
  </si>
  <si>
    <t>254900BLZ1MCZ5JLK411</t>
  </si>
  <si>
    <t>0810000011</t>
  </si>
  <si>
    <t>0810000015</t>
  </si>
  <si>
    <t>0810000022</t>
  </si>
  <si>
    <t>NC</t>
  </si>
  <si>
    <t>0810000033</t>
  </si>
  <si>
    <t>575831-GQ-9</t>
  </si>
  <si>
    <t>0810000040</t>
  </si>
  <si>
    <t>NEW YORK N Y CITY TRANSITIONAL</t>
  </si>
  <si>
    <t>SAN JOSE CALIF FING AUTH SAN JOSE CALIF</t>
  </si>
  <si>
    <t>91412H-JU-8</t>
  </si>
  <si>
    <t>917567-GG-8</t>
  </si>
  <si>
    <t>917567-GH-6</t>
  </si>
  <si>
    <t>0829999999</t>
  </si>
  <si>
    <t>012653-AD-3</t>
  </si>
  <si>
    <t>ALBEMARLE CORP</t>
  </si>
  <si>
    <t>025816-CS-6</t>
  </si>
  <si>
    <t>1010000017</t>
  </si>
  <si>
    <t>02665W-DD-0</t>
  </si>
  <si>
    <t>1010000028</t>
  </si>
  <si>
    <t>2.B PL</t>
  </si>
  <si>
    <t>1010000035</t>
  </si>
  <si>
    <t>AUTONATION INC</t>
  </si>
  <si>
    <t>1010000039</t>
  </si>
  <si>
    <t>549300DRQQI75D2JP341</t>
  </si>
  <si>
    <t>1010000046</t>
  </si>
  <si>
    <t>1010000053</t>
  </si>
  <si>
    <t>1010000057</t>
  </si>
  <si>
    <t>1010000060</t>
  </si>
  <si>
    <t>1010000064</t>
  </si>
  <si>
    <t>BOSTON SCIENTIFIC CORPORATION</t>
  </si>
  <si>
    <t>1010000068</t>
  </si>
  <si>
    <t>1010000071</t>
  </si>
  <si>
    <t>11135F-BR-1</t>
  </si>
  <si>
    <t>1010000075</t>
  </si>
  <si>
    <t>114259-AW-4</t>
  </si>
  <si>
    <t>1010000082</t>
  </si>
  <si>
    <t>1010000093</t>
  </si>
  <si>
    <t>CARRIER GLOBAL CORP</t>
  </si>
  <si>
    <t>CATERPILLAR FINANCIAL SERVICES</t>
  </si>
  <si>
    <t>1010000108</t>
  </si>
  <si>
    <t>CENTRAL HUDSON GAS &amp; ELEC</t>
  </si>
  <si>
    <t>172967-MF-5</t>
  </si>
  <si>
    <t>1010000119</t>
  </si>
  <si>
    <t>174610-AR-6</t>
  </si>
  <si>
    <t>CLEAN HARBORS, INC.</t>
  </si>
  <si>
    <t>1010000126</t>
  </si>
  <si>
    <t>COMERICA BANK</t>
  </si>
  <si>
    <t>CONSTELLATION BRANDS INC</t>
  </si>
  <si>
    <t>1010000137</t>
  </si>
  <si>
    <t>1010000144</t>
  </si>
  <si>
    <t>DT MIDSTREAM INC</t>
  </si>
  <si>
    <t>MICHIGAN CONS GAS</t>
  </si>
  <si>
    <t>DTE GAS COMPANY</t>
  </si>
  <si>
    <t>1010000148</t>
  </si>
  <si>
    <t>233851-DX-9</t>
  </si>
  <si>
    <t>1010000151</t>
  </si>
  <si>
    <t>1010000155</t>
  </si>
  <si>
    <t>1010000159</t>
  </si>
  <si>
    <t>OPX52SQVOZI8IVSWYU66</t>
  </si>
  <si>
    <t>1010000162</t>
  </si>
  <si>
    <t>5493004JF0SDFLM8GD76</t>
  </si>
  <si>
    <t>1010000166</t>
  </si>
  <si>
    <t>1010000173</t>
  </si>
  <si>
    <t>7ZS3DE5PN30BYUJFWP05</t>
  </si>
  <si>
    <t>1010000180</t>
  </si>
  <si>
    <t>ESTEE LAUDER COMPANIES INC</t>
  </si>
  <si>
    <t>1010000184</t>
  </si>
  <si>
    <t>QFROUN1UWUYU0DVIWD51</t>
  </si>
  <si>
    <t>FIFTH THIRD BANK</t>
  </si>
  <si>
    <t>337738-AP-3</t>
  </si>
  <si>
    <t>GI7UBEJLXYLGR2C7GV83</t>
  </si>
  <si>
    <t>1010000191</t>
  </si>
  <si>
    <t>549300Q0UQF87NXNOC32</t>
  </si>
  <si>
    <t>UDSQCVRUX5BONN0VY111</t>
  </si>
  <si>
    <t>377372-AM-9</t>
  </si>
  <si>
    <t>1010000217</t>
  </si>
  <si>
    <t>38869A-AA-5</t>
  </si>
  <si>
    <t>SO75N4VY5NXGQSK8YQ65</t>
  </si>
  <si>
    <t>41242*-BK-7</t>
  </si>
  <si>
    <t>1010000228</t>
  </si>
  <si>
    <t>437076-CE-0</t>
  </si>
  <si>
    <t>QEKMOTMBBKA8I816DO57</t>
  </si>
  <si>
    <t>54930088VDQ6840Y6597</t>
  </si>
  <si>
    <t>1010000235</t>
  </si>
  <si>
    <t>1010000239</t>
  </si>
  <si>
    <t>1010000242</t>
  </si>
  <si>
    <t>1010000246</t>
  </si>
  <si>
    <t>1010000253</t>
  </si>
  <si>
    <t>476556-DC-6</t>
  </si>
  <si>
    <t>1010000257</t>
  </si>
  <si>
    <t>1010000260</t>
  </si>
  <si>
    <t>KEYSIGHT TECHNOLOGIES INC</t>
  </si>
  <si>
    <t>LABORATORY CORPORATION OF LABORATORY COR</t>
  </si>
  <si>
    <t>1010000264</t>
  </si>
  <si>
    <t>549300I4GMO6D34U1T02</t>
  </si>
  <si>
    <t>QTLJDJDLXNS5S2F3I260</t>
  </si>
  <si>
    <t>DKOVQUCDW4ZLYCUD4T55</t>
  </si>
  <si>
    <t>52532X-AF-2</t>
  </si>
  <si>
    <t>1010000271</t>
  </si>
  <si>
    <t>534187-BD-0</t>
  </si>
  <si>
    <t>LITHIA MOTORS INC</t>
  </si>
  <si>
    <t>1010000275</t>
  </si>
  <si>
    <t>MAGALLANES INC</t>
  </si>
  <si>
    <t>1010000282</t>
  </si>
  <si>
    <t>57629W-CG-3</t>
  </si>
  <si>
    <t>579780-AM-9</t>
  </si>
  <si>
    <t>UE2136O97NLB5BYP9H04</t>
  </si>
  <si>
    <t>58174#-AD-6</t>
  </si>
  <si>
    <t>58174#-AE-4</t>
  </si>
  <si>
    <t>1010000293</t>
  </si>
  <si>
    <t>C4BXATY60WC6XEOZDX54</t>
  </si>
  <si>
    <t>594918-BB-9</t>
  </si>
  <si>
    <t>B3DXGBC8GAIYWI2Z0172</t>
  </si>
  <si>
    <t>1010000308</t>
  </si>
  <si>
    <t>61747Y-ER-2</t>
  </si>
  <si>
    <t>1010000319</t>
  </si>
  <si>
    <t>636180-BQ-3</t>
  </si>
  <si>
    <t>637432-NJ-0</t>
  </si>
  <si>
    <t>NEW JERSEY RESOURCES CORPORATI</t>
  </si>
  <si>
    <t>1010000326</t>
  </si>
  <si>
    <t>1010000333</t>
  </si>
  <si>
    <t>1010000337</t>
  </si>
  <si>
    <t>NOVARTIS CAPITAL CORP</t>
  </si>
  <si>
    <t>681919-BA-3</t>
  </si>
  <si>
    <t>1010000344</t>
  </si>
  <si>
    <t>68235P-AM-0</t>
  </si>
  <si>
    <t>1010000348</t>
  </si>
  <si>
    <t>1010000351</t>
  </si>
  <si>
    <t>70432*-AA-9</t>
  </si>
  <si>
    <t>1010000355</t>
  </si>
  <si>
    <t>1010000362</t>
  </si>
  <si>
    <t>741503-AZ-9</t>
  </si>
  <si>
    <t>1010000366</t>
  </si>
  <si>
    <t>1010000373</t>
  </si>
  <si>
    <t>1010000380</t>
  </si>
  <si>
    <t>1010000384</t>
  </si>
  <si>
    <t>78355H-KP-3</t>
  </si>
  <si>
    <t>SABINE PASS LIQUEFACTION LLC</t>
  </si>
  <si>
    <t>1010000391</t>
  </si>
  <si>
    <t>817565-CG-7</t>
  </si>
  <si>
    <t>J M SMUCKER CO</t>
  </si>
  <si>
    <t>838518-D@-4</t>
  </si>
  <si>
    <t>549300NXSY15DRY2R511</t>
  </si>
  <si>
    <t>855244-AQ-2</t>
  </si>
  <si>
    <t>857477-BC-6</t>
  </si>
  <si>
    <t>857477-BU-6</t>
  </si>
  <si>
    <t>STRYKER CORP</t>
  </si>
  <si>
    <t>TEMPUR SEALY INTERNATIONAL INC</t>
  </si>
  <si>
    <t>1010000417</t>
  </si>
  <si>
    <t>1010000424</t>
  </si>
  <si>
    <t>1010000428</t>
  </si>
  <si>
    <t>1010000435</t>
  </si>
  <si>
    <t>1010000439</t>
  </si>
  <si>
    <t>1010000442</t>
  </si>
  <si>
    <t>1010000446</t>
  </si>
  <si>
    <t>VIATRIS INC</t>
  </si>
  <si>
    <t>1010000453</t>
  </si>
  <si>
    <t>1010000457</t>
  </si>
  <si>
    <t>1010000460</t>
  </si>
  <si>
    <t>1010000464</t>
  </si>
  <si>
    <t>WOLSELEY CAPITAL INC</t>
  </si>
  <si>
    <t>98419M-AM-2</t>
  </si>
  <si>
    <t>98956P-AQ-5</t>
  </si>
  <si>
    <t>1010000471</t>
  </si>
  <si>
    <t>AGNICO EAGLE MINES LTD</t>
  </si>
  <si>
    <t>2.B Z</t>
  </si>
  <si>
    <t>1010000475</t>
  </si>
  <si>
    <t>549300TD3EMSRRC0YH75</t>
  </si>
  <si>
    <t>1010000482</t>
  </si>
  <si>
    <t>9695005MSX1OYEMGDF46</t>
  </si>
  <si>
    <t>05581K-AB-7</t>
  </si>
  <si>
    <t>1010000508</t>
  </si>
  <si>
    <t>CREDIT AGRICOLE CORPORATE AND Series 144</t>
  </si>
  <si>
    <t>ENEL FINANCE INTERNATIONAL NV</t>
  </si>
  <si>
    <t>1010000519</t>
  </si>
  <si>
    <t>1010000526</t>
  </si>
  <si>
    <t>1010000533</t>
  </si>
  <si>
    <t>1010000537</t>
  </si>
  <si>
    <t>62954H-AZ-1</t>
  </si>
  <si>
    <t>1010000544</t>
  </si>
  <si>
    <t>1010000548</t>
  </si>
  <si>
    <t>780097-BK-6</t>
  </si>
  <si>
    <t>1010000551</t>
  </si>
  <si>
    <t>SK TELECOM CO LTD Series 144A</t>
  </si>
  <si>
    <t>SPCM SA</t>
  </si>
  <si>
    <t>1010000555</t>
  </si>
  <si>
    <t>SENSATA TECHNOLOGIES BV Series 144A</t>
  </si>
  <si>
    <t>1010000562</t>
  </si>
  <si>
    <t>1010000566</t>
  </si>
  <si>
    <t>1010000573</t>
  </si>
  <si>
    <t>FRITZ DRAXLMAIER GMGH &amp; CO KG</t>
  </si>
  <si>
    <t>1010000580</t>
  </si>
  <si>
    <t>G6764#-AA-0</t>
  </si>
  <si>
    <t>1010000591</t>
  </si>
  <si>
    <t>NNB2OUTZVTW687M91V66</t>
  </si>
  <si>
    <t>POWERCO LIMITED</t>
  </si>
  <si>
    <t>Subtotal - Bonds - Industrial and Miscellaneous (Unaffiliated) - Issuer Obligations</t>
  </si>
  <si>
    <t>00217F-AD-7</t>
  </si>
  <si>
    <t>AMERICAN AIRLINES 2016-3 CLASS</t>
  </si>
  <si>
    <t>03236V-AC-5</t>
  </si>
  <si>
    <t>03236V-AD-3</t>
  </si>
  <si>
    <t>AVIS BUDGET RENTAL CAR FUNDING Series 14</t>
  </si>
  <si>
    <t>12434K-AA-4</t>
  </si>
  <si>
    <t>12434K-AB-2</t>
  </si>
  <si>
    <t>12563L-AN-7</t>
  </si>
  <si>
    <t>FORD CREDIT AUTO OWNER TRUST F</t>
  </si>
  <si>
    <t>FORD CREDIT AUTO LEASE TRUST</t>
  </si>
  <si>
    <t>1040000077</t>
  </si>
  <si>
    <t>1040000088</t>
  </si>
  <si>
    <t>43283G-AA-0</t>
  </si>
  <si>
    <t>1040000095</t>
  </si>
  <si>
    <t>43284B-AB-8</t>
  </si>
  <si>
    <t>43284B-AC-6</t>
  </si>
  <si>
    <t>1040000099</t>
  </si>
  <si>
    <t>44934K-AF-1</t>
  </si>
  <si>
    <t>MVW OWNER TRUST MVWOT_21-1WA Series 144A</t>
  </si>
  <si>
    <t>ORANGE LAKE TIMESHARE TRUST ON</t>
  </si>
  <si>
    <t>83546D-AJ-7</t>
  </si>
  <si>
    <t>VOLVO FINANCIAL EQUIPMENT LLC Series 144</t>
  </si>
  <si>
    <t>WORLD OMNI AUTO RECEIVABLES TR</t>
  </si>
  <si>
    <t>98164E-AE-5</t>
  </si>
  <si>
    <t>1040000179</t>
  </si>
  <si>
    <t>MASTER CREDIT CARD TRUST MCCT_</t>
  </si>
  <si>
    <t>03768M-AL-1</t>
  </si>
  <si>
    <t>1040000186</t>
  </si>
  <si>
    <t>BENEFIT STREET PARTNERS CLO LT Series 14</t>
  </si>
  <si>
    <t>CBAM CLO MANAGEMENT CBAM_18-5A</t>
  </si>
  <si>
    <t>CIFC FUNDING LTD CIFC_15-1A Series 144A</t>
  </si>
  <si>
    <t>1040000197</t>
  </si>
  <si>
    <t>KAYNE CLO KAYNE_21-11A Series 144A</t>
  </si>
  <si>
    <t>82666T-AE-9</t>
  </si>
  <si>
    <t>VENTURE CDO LTD VENTR_20-39A Series 144A</t>
  </si>
  <si>
    <t>VENTURE CDO LTD VENTR_20-39A</t>
  </si>
  <si>
    <t>92918B-AS-2</t>
  </si>
  <si>
    <t>1240000000</t>
  </si>
  <si>
    <t>1309999999</t>
  </si>
  <si>
    <t>Subtotal - Bonds - Parent, Subsidiaries and Affiliates - Commercial Mortgage-Backed Securities</t>
  </si>
  <si>
    <t>1619999999</t>
  </si>
  <si>
    <t xml:space="preserve">NAIC Designation Modifier A Amount </t>
  </si>
  <si>
    <t>000001A</t>
  </si>
  <si>
    <t>4020000000</t>
  </si>
  <si>
    <t>Total - Preferred Stock - Parent, Subsidiaries and Affiliates</t>
  </si>
  <si>
    <t>0500000000</t>
  </si>
  <si>
    <t>Subtotal - Bonds - U.S. Political Subdivisions of States, Territories and Possessions</t>
  </si>
  <si>
    <t>MIZUHO SECURITIES</t>
  </si>
  <si>
    <t>1100000009</t>
  </si>
  <si>
    <t>1100000027</t>
  </si>
  <si>
    <t>KEYBANC CAPITAL MARKET</t>
  </si>
  <si>
    <t>1100000034</t>
  </si>
  <si>
    <t>1100000038</t>
  </si>
  <si>
    <t>1100000045</t>
  </si>
  <si>
    <t>CITIGROUP INC    3.070% 02/24/28</t>
  </si>
  <si>
    <t>1100000049</t>
  </si>
  <si>
    <t>CONOCOPHILLIPS    3.750% 10/01/27</t>
  </si>
  <si>
    <t>1100000052</t>
  </si>
  <si>
    <t>1100000056</t>
  </si>
  <si>
    <t>EAST OHIO GAS CO    6.190% 12/15/32</t>
  </si>
  <si>
    <t>1100000063</t>
  </si>
  <si>
    <t>1100000067</t>
  </si>
  <si>
    <t>1100000070</t>
  </si>
  <si>
    <t>1100000074</t>
  </si>
  <si>
    <t>1100000081</t>
  </si>
  <si>
    <t>1100000085</t>
  </si>
  <si>
    <t>1100000092</t>
  </si>
  <si>
    <t>LAMAR MEDIA CORP.    3.625% 01/15/31</t>
  </si>
  <si>
    <t>LOWES COMPANIES INC    3.350% 04/01/27</t>
  </si>
  <si>
    <t>1100000118</t>
  </si>
  <si>
    <t>1100000125</t>
  </si>
  <si>
    <t>1100000129</t>
  </si>
  <si>
    <t>1100000136</t>
  </si>
  <si>
    <t>1100000143</t>
  </si>
  <si>
    <t>1100000147</t>
  </si>
  <si>
    <t>NOMURA SECURITIES</t>
  </si>
  <si>
    <t>1100000154</t>
  </si>
  <si>
    <t>1100000158</t>
  </si>
  <si>
    <t>1100000161</t>
  </si>
  <si>
    <t>1100000165</t>
  </si>
  <si>
    <t>SMBC NIKKO SECURITIES AI</t>
  </si>
  <si>
    <t>1100000172</t>
  </si>
  <si>
    <t>1100000176</t>
  </si>
  <si>
    <t>COATES GROUP PTY LTD    2.890% 01/12/29</t>
  </si>
  <si>
    <t xml:space="preserve">Bond Interest/ Stock Dividends Received During Year </t>
  </si>
  <si>
    <t>0100000001</t>
  </si>
  <si>
    <t>923040-DG-1</t>
  </si>
  <si>
    <t>IN</t>
  </si>
  <si>
    <t>549300PS0PAS7NDSSI20</t>
  </si>
  <si>
    <t>0900000003</t>
  </si>
  <si>
    <t>KANSAS ST DEV FIN AUTH REV</t>
  </si>
  <si>
    <t>NEW JERSEY ST TRANSN TR FD AUT MUNI BND</t>
  </si>
  <si>
    <t>0900000007</t>
  </si>
  <si>
    <t>023135-AZ-9</t>
  </si>
  <si>
    <t>025816-BD-0</t>
  </si>
  <si>
    <t>AMERICAN TOWER CORP    3.500% 01/31/23</t>
  </si>
  <si>
    <t>031162-BV-1</t>
  </si>
  <si>
    <t>CME GROUP INC</t>
  </si>
  <si>
    <t>CNH EQUIPMENT TRUST CNH_18-A</t>
  </si>
  <si>
    <t>127097-AE-3</t>
  </si>
  <si>
    <t>337738-AQ-1</t>
  </si>
  <si>
    <t>FISERV INC    3.800% 10/01/23</t>
  </si>
  <si>
    <t>36255J-AG-9</t>
  </si>
  <si>
    <t>44935S-AE-6</t>
  </si>
  <si>
    <t>MPLX LP    3.500% 12/01/22</t>
  </si>
  <si>
    <t>585055-BS-4</t>
  </si>
  <si>
    <t>61744Y-AN-8</t>
  </si>
  <si>
    <t>MOSAIC CO    3.250% 11/15/22</t>
  </si>
  <si>
    <t>NORTHERN STATES PWR CO (MINNESOTA)</t>
  </si>
  <si>
    <t>69353R-FL-7</t>
  </si>
  <si>
    <t>PFIZER INC    3.200% 09/15/23</t>
  </si>
  <si>
    <t>1100000183</t>
  </si>
  <si>
    <t>QUALCOMM INC</t>
  </si>
  <si>
    <t>1100000190</t>
  </si>
  <si>
    <t>STEEL DYNAMICS INC    2.800% 12/15/24</t>
  </si>
  <si>
    <t>SYSCO CORPORATION    2.600% 06/12/22</t>
  </si>
  <si>
    <t>1100000209</t>
  </si>
  <si>
    <t>1100000216</t>
  </si>
  <si>
    <t>1100000227</t>
  </si>
  <si>
    <t>92347Y-AD-6</t>
  </si>
  <si>
    <t>1100000234</t>
  </si>
  <si>
    <t>ANTHEM INC WELLPOINT INC</t>
  </si>
  <si>
    <t>1100000238</t>
  </si>
  <si>
    <t>1100000245</t>
  </si>
  <si>
    <t>1100000249</t>
  </si>
  <si>
    <t>1100000252</t>
  </si>
  <si>
    <t>1100000256</t>
  </si>
  <si>
    <t>55037A-AA-6</t>
  </si>
  <si>
    <t>LUNDIN ENERGY FINANCE BV</t>
  </si>
  <si>
    <t>1100000263</t>
  </si>
  <si>
    <t>1100000267</t>
  </si>
  <si>
    <t>1100000270</t>
  </si>
  <si>
    <t>1100000274</t>
  </si>
  <si>
    <t>UNITED ENERGY DISTRIBUTION PTY UNITED EN</t>
  </si>
  <si>
    <t>1100000281</t>
  </si>
  <si>
    <t>Total - Preferred Stocks - Part 4</t>
  </si>
  <si>
    <t xml:space="preserve">Interest and Dividends Received During Year </t>
  </si>
  <si>
    <t xml:space="preserve">NAIC Company Code </t>
  </si>
  <si>
    <t xml:space="preserve">Prior Year Nonadmitted Amount </t>
  </si>
  <si>
    <t>0500000</t>
  </si>
  <si>
    <t>0799999</t>
  </si>
  <si>
    <t>1300000</t>
  </si>
  <si>
    <t xml:space="preserve">Foreign </t>
  </si>
  <si>
    <t xml:space="preserve">Bond Characteristics </t>
  </si>
  <si>
    <t xml:space="preserve">LEI </t>
  </si>
  <si>
    <t>A</t>
  </si>
  <si>
    <t>MN</t>
  </si>
  <si>
    <t>0240000000</t>
  </si>
  <si>
    <t>Subtotal - Bonds - All Other Governments - Other Loan-Backed and Structured Securities</t>
  </si>
  <si>
    <t>0309999999</t>
  </si>
  <si>
    <t>MISSISSIPPI ST MISSISSIPPI ST</t>
  </si>
  <si>
    <t>605581-NF-0</t>
  </si>
  <si>
    <t>0410000009</t>
  </si>
  <si>
    <t>738850-QP-4</t>
  </si>
  <si>
    <t>0619999999</t>
  </si>
  <si>
    <t>010268-CW-8</t>
  </si>
  <si>
    <t>0810000008</t>
  </si>
  <si>
    <t>0810000019</t>
  </si>
  <si>
    <t>13067W-TD-4</t>
  </si>
  <si>
    <t>CALIFORNIA STATE UNIVERSITY CALIFORNIA S</t>
  </si>
  <si>
    <t>0810000026</t>
  </si>
  <si>
    <t>0810000037</t>
  </si>
  <si>
    <t>0810000044</t>
  </si>
  <si>
    <t>0810000048</t>
  </si>
  <si>
    <t>0810000051</t>
  </si>
  <si>
    <t>0810000055</t>
  </si>
  <si>
    <t>875301-HQ-9</t>
  </si>
  <si>
    <t>0810000059</t>
  </si>
  <si>
    <t>875301-HR-7</t>
  </si>
  <si>
    <t>875301-HS-5</t>
  </si>
  <si>
    <t>875301-HT-3</t>
  </si>
  <si>
    <t>0810000062</t>
  </si>
  <si>
    <t>0810000066</t>
  </si>
  <si>
    <t>C1JO4L7V36XZOIREBT81</t>
  </si>
  <si>
    <t>02343U-AG-0</t>
  </si>
  <si>
    <t>037833-BU-3</t>
  </si>
  <si>
    <t>037833-EC-0</t>
  </si>
  <si>
    <t>054561-AC-9</t>
  </si>
  <si>
    <t>05565E-BM-6</t>
  </si>
  <si>
    <t>BMW US CAPITAL LLC</t>
  </si>
  <si>
    <t>BAXTER INTERNATIONAL INC</t>
  </si>
  <si>
    <t>BLACKSTONE HOLDINGS FINANCE CO Series 14</t>
  </si>
  <si>
    <t>Y6ZDD9FP4P8JSSJMW954</t>
  </si>
  <si>
    <t>1010000079</t>
  </si>
  <si>
    <t>1010000086</t>
  </si>
  <si>
    <t>CVS HEALTH CORP</t>
  </si>
  <si>
    <t>1010000097</t>
  </si>
  <si>
    <t>153609-K*-2</t>
  </si>
  <si>
    <t>17325F-AS-7</t>
  </si>
  <si>
    <t>184496-AP-2</t>
  </si>
  <si>
    <t>CLECO POWER LLC</t>
  </si>
  <si>
    <t>19565C-AA-8</t>
  </si>
  <si>
    <t>CONNECTICUT NATURAL GAS CORPOR CONNECTIC</t>
  </si>
  <si>
    <t>CONNECTICUT NATURAL GAS CORPOR</t>
  </si>
  <si>
    <t>CONNECTICUT NATURAL GAS</t>
  </si>
  <si>
    <t>CROWN CASTLE INTERNATIONAL COR</t>
  </si>
  <si>
    <t>24715@-AS-3</t>
  </si>
  <si>
    <t>24715@-AT-1</t>
  </si>
  <si>
    <t>DUKE ENERGY CORP</t>
  </si>
  <si>
    <t>26875P-AM-3</t>
  </si>
  <si>
    <t>ENERSYS SERIES 144A</t>
  </si>
  <si>
    <t>KYX6QEFGFXUFFAWLGG05</t>
  </si>
  <si>
    <t>1010000177</t>
  </si>
  <si>
    <t>302491-AT-2</t>
  </si>
  <si>
    <t>FIDELITY NATIONAL INFORMATION FIDELITY N</t>
  </si>
  <si>
    <t>1010000188</t>
  </si>
  <si>
    <t>1010000195</t>
  </si>
  <si>
    <t>FOOTBALL CLUB TERM NOTES 2020- FOOTBALL</t>
  </si>
  <si>
    <t>1010000199</t>
  </si>
  <si>
    <t>361448-BG-7</t>
  </si>
  <si>
    <t>369550-BG-2</t>
  </si>
  <si>
    <t>GRAY OAK PIPELINE LLC</t>
  </si>
  <si>
    <t>1VWDHRIRERCQ5D5M5681</t>
  </si>
  <si>
    <t>443510-AH-5</t>
  </si>
  <si>
    <t>HUMANA INC</t>
  </si>
  <si>
    <t>450636-D#-9</t>
  </si>
  <si>
    <t>459506-AP-6</t>
  </si>
  <si>
    <t>48242W-AC-0</t>
  </si>
  <si>
    <t>49327M-2U-7</t>
  </si>
  <si>
    <t>LABORATORY CORPORATION OF AMER</t>
  </si>
  <si>
    <t>LAM RSRCH CORP</t>
  </si>
  <si>
    <t>5493005SMYID1D2OY946</t>
  </si>
  <si>
    <t>1010000268</t>
  </si>
  <si>
    <t>53079E-BE-3</t>
  </si>
  <si>
    <t>1010000279</t>
  </si>
  <si>
    <t>Broker</t>
  </si>
  <si>
    <t>1010000286</t>
  </si>
  <si>
    <t>METROPOLITAN LIFE GLOBAL FUNDI Series 14</t>
  </si>
  <si>
    <t>INR2EJN1ERAN0W5ZP974</t>
  </si>
  <si>
    <t>1010000297</t>
  </si>
  <si>
    <t>549300F7ZU4P1F8V8L60</t>
  </si>
  <si>
    <t>NHL US FUNDING LP</t>
  </si>
  <si>
    <t>NATIONAL HOCKEY LEAGUE</t>
  </si>
  <si>
    <t>2.A PL</t>
  </si>
  <si>
    <t>637432-NZ-4</t>
  </si>
  <si>
    <t>66815L-2D-0</t>
  </si>
  <si>
    <t>1010000359</t>
  </si>
  <si>
    <t>GJOUP9M7C39GLSK9R870</t>
  </si>
  <si>
    <t>74151#-AN-8</t>
  </si>
  <si>
    <t>75886F-AE-7</t>
  </si>
  <si>
    <t>759509-AE-2</t>
  </si>
  <si>
    <t>1010000377</t>
  </si>
  <si>
    <t>75951A-AP-3</t>
  </si>
  <si>
    <t>771196-BJ-0</t>
  </si>
  <si>
    <t>ROCHE HOLDINGS INC</t>
  </si>
  <si>
    <t>1010000388</t>
  </si>
  <si>
    <t>SANTANDER HOLDINGS USA INC</t>
  </si>
  <si>
    <t>806605-AH-4</t>
  </si>
  <si>
    <t>808513-AX-3</t>
  </si>
  <si>
    <t>CHARLES SCHWAB CORP</t>
  </si>
  <si>
    <t>808513-AY-1</t>
  </si>
  <si>
    <t>1010000395</t>
  </si>
  <si>
    <t>1010000399</t>
  </si>
  <si>
    <t>90331H-MS-9</t>
  </si>
  <si>
    <t>US BANK NATIONAL ASSOCIATION</t>
  </si>
  <si>
    <t>918204-BB-3</t>
  </si>
  <si>
    <t>WELLS FARGO &amp; COMPANY</t>
  </si>
  <si>
    <t>95000U-3B-7</t>
  </si>
  <si>
    <t>WESTINGHOUSE AIR BRAKE TECHNOL</t>
  </si>
  <si>
    <t>YANKEE GAS SERVICES CO</t>
  </si>
  <si>
    <t>1010000468</t>
  </si>
  <si>
    <t>TELEPERFORMANCE</t>
  </si>
  <si>
    <t>1010000479</t>
  </si>
  <si>
    <t>683715-AD-8</t>
  </si>
  <si>
    <t>1010000486</t>
  </si>
  <si>
    <t>ABN AMRO BANK NV</t>
  </si>
  <si>
    <t>1010000493</t>
  </si>
  <si>
    <t>013822-AE-1</t>
  </si>
  <si>
    <t>5493000UL1QLQLT1VQ42</t>
  </si>
  <si>
    <t>ANGLO AMERICAN CAPITAL PLC</t>
  </si>
  <si>
    <t>1010000497</t>
  </si>
  <si>
    <t>AVOLON HOLDINGS FUNDING LTD Series 144A</t>
  </si>
  <si>
    <t>MSFSBD3QN1GSN7Q6C537</t>
  </si>
  <si>
    <t>RABOBANK NEDERLAND (NY BRANCH)</t>
  </si>
  <si>
    <t>29446M-AE-2</t>
  </si>
  <si>
    <t>INCITEC PIVOT LTD</t>
  </si>
  <si>
    <t>53944Y-AH-6</t>
  </si>
  <si>
    <t>606822-CK-8</t>
  </si>
  <si>
    <t>2138005O9XJIJN4JPN90</t>
  </si>
  <si>
    <t>7846EL-AD-9</t>
  </si>
  <si>
    <t>TAFO772JB70PDRN5VS48</t>
  </si>
  <si>
    <t>1010000559</t>
  </si>
  <si>
    <t>SUMITOMO MITSUI FIN GRP INC</t>
  </si>
  <si>
    <t>UBS GROUP AG Series 144A</t>
  </si>
  <si>
    <t>WOODSIDE FIN LTD Series 144A</t>
  </si>
  <si>
    <t>1010000577</t>
  </si>
  <si>
    <t>D2736#-AT-6</t>
  </si>
  <si>
    <t>COATS GROUP FINANCE CO LTD</t>
  </si>
  <si>
    <t>JAJO</t>
  </si>
  <si>
    <t>OMEGA LEASING (NO. 9) LIMITED</t>
  </si>
  <si>
    <t>1010000584</t>
  </si>
  <si>
    <t>THAMES WATER UTILITIES LTD</t>
  </si>
  <si>
    <t>N4281@-CH-6</t>
  </si>
  <si>
    <t>KONINKLIJKE VOPAK VN KONINKLIJKE VOPAK N</t>
  </si>
  <si>
    <t>1010000588</t>
  </si>
  <si>
    <t>Q3974*-AA-6</t>
  </si>
  <si>
    <t>1010000595</t>
  </si>
  <si>
    <t>1030000000</t>
  </si>
  <si>
    <t>00217Q-AD-3</t>
  </si>
  <si>
    <t>00217Q-AE-1</t>
  </si>
  <si>
    <t>Refinitiv</t>
  </si>
  <si>
    <t>10</t>
  </si>
  <si>
    <t>12510K-AG-8</t>
  </si>
  <si>
    <t>12511J-AC-9</t>
  </si>
  <si>
    <t>12511J-AD-7</t>
  </si>
  <si>
    <t>12596J-AE-3</t>
  </si>
  <si>
    <t>14687J-AG-4</t>
  </si>
  <si>
    <t>34528L-AG-0</t>
  </si>
  <si>
    <t>34532J-AA-2</t>
  </si>
  <si>
    <t>34532J-AB-0</t>
  </si>
  <si>
    <t>345340-AB-9</t>
  </si>
  <si>
    <t>345340-AC-7</t>
  </si>
  <si>
    <t>GBX LEASING GBXL_22-1</t>
  </si>
  <si>
    <t>380146-AE-0</t>
  </si>
  <si>
    <t>GREAT AMERICA LEASING RECEIVAB Series 14</t>
  </si>
  <si>
    <t>55400K-AB-1</t>
  </si>
  <si>
    <t>MVW OWNER TRUST MVWOT_21-2A Series 144A</t>
  </si>
  <si>
    <t>SIERRA TIMESHARE RECEIVABLES F Series 14</t>
  </si>
  <si>
    <t>826525-AB-3</t>
  </si>
  <si>
    <t>SIERRA RECEIVABLES FUNDING CO</t>
  </si>
  <si>
    <t>TRITON CONTAINER FINANCE LLC T Series 14</t>
  </si>
  <si>
    <t>576339-CS-2</t>
  </si>
  <si>
    <t>BENEFIT STREET PARTNERS CLO LT</t>
  </si>
  <si>
    <t>CEDAR FUNDING LTD CEDF_14-4A Series 144A</t>
  </si>
  <si>
    <t>549300PPJP6KEORGHQ85</t>
  </si>
  <si>
    <t>KAYNE CLO LTD KAYNE_21-10A</t>
  </si>
  <si>
    <t>MADISON PARK FUNDING LTD MDPK_</t>
  </si>
  <si>
    <t>56844Y-AA-5</t>
  </si>
  <si>
    <t>SIGNAL PEAK CLO LLC SPEAK_14-1</t>
  </si>
  <si>
    <t>1049999999</t>
  </si>
  <si>
    <t>Subtotal - Bonds - Parent, Subsidiaries and Affiliates - Residential Mortgage-Backed Securities</t>
  </si>
  <si>
    <t>2459999999</t>
  </si>
  <si>
    <t>2509999999</t>
  </si>
  <si>
    <t xml:space="preserve">NAIC Designation Modifier B Amount </t>
  </si>
  <si>
    <t>000001E</t>
  </si>
  <si>
    <t xml:space="preserve">Number of Shares </t>
  </si>
  <si>
    <t xml:space="preserve">Dividends: Nonadmitted Declared But Unpaid </t>
  </si>
  <si>
    <t>Subtotal - Common Stocks - Closed-End Funds - Designations Not Assigned by the SVO</t>
  </si>
  <si>
    <t>5809999999</t>
  </si>
  <si>
    <t>Schedule D - Part 3 - Long-Term Bonds and Stocks Acquired</t>
  </si>
  <si>
    <t>Soc Gen</t>
  </si>
  <si>
    <t>1100000078</t>
  </si>
  <si>
    <t>ITR CONCESSION CO LLC    3.170% 03/15/29</t>
  </si>
  <si>
    <t>1100000089</t>
  </si>
  <si>
    <t>1100000096</t>
  </si>
  <si>
    <t>1100000169</t>
  </si>
  <si>
    <t>ANZ SECURITIES INC</t>
  </si>
  <si>
    <t>Total - Bonds - Part 3</t>
  </si>
  <si>
    <t>Subtotal - Common Stocks - Parent, Subsidiaries and Affiliates Other</t>
  </si>
  <si>
    <t>Schedule D - Part 4 - Long-Term Bonds and Stocks Sold, Redeemed or Otherwise Disposed Of</t>
  </si>
  <si>
    <t>LONG BEACH CALIF UNI SCH DIST MUNI BND G</t>
  </si>
  <si>
    <t>04685A-2B-6</t>
  </si>
  <si>
    <t>04685A-2E-0</t>
  </si>
  <si>
    <t>05493C-AB-2</t>
  </si>
  <si>
    <t>BCC FUNDING CORP BCCFC_20-1</t>
  </si>
  <si>
    <t>06406H-CS-6</t>
  </si>
  <si>
    <t>CNH EQUIPMENT TRUST CNH_17-C</t>
  </si>
  <si>
    <t>EOG RESOURCES INC EOG RESOURCES INC</t>
  </si>
  <si>
    <t>GILEAD SCIENCES INC    3.250% 09/01/22</t>
  </si>
  <si>
    <t>HPEFS EQUIPMENT TRUST HPEFS_19 Series 14</t>
  </si>
  <si>
    <t>HERSHEY COMPANY THE    3.375% 05/15/23</t>
  </si>
  <si>
    <t>46625H-RL-6</t>
  </si>
  <si>
    <t>527298-BN-2</t>
  </si>
  <si>
    <t>LOCKHEED MARTIN CORPORATION</t>
  </si>
  <si>
    <t>Call      100.1010</t>
  </si>
  <si>
    <t>NEWMARKET NEWMARKET CORP</t>
  </si>
  <si>
    <t>NEWMARKET</t>
  </si>
  <si>
    <t>RPM INTERNATIONAL INC</t>
  </si>
  <si>
    <t>1100000187</t>
  </si>
  <si>
    <t>SHERWIN-WILLIAMS COMPANY (THE)</t>
  </si>
  <si>
    <t>1100000194</t>
  </si>
  <si>
    <t>1100000198</t>
  </si>
  <si>
    <t>887389-AJ-3</t>
  </si>
  <si>
    <t>92348X-AD-7</t>
  </si>
  <si>
    <t>92888D-AE-5</t>
  </si>
  <si>
    <t>Enstar Group</t>
  </si>
  <si>
    <t>LUNDIN ENERGY FINANCE BV Series 144A</t>
  </si>
  <si>
    <t>OAK HILL CREDIT PARTNERS OAKC_ Series 14</t>
  </si>
  <si>
    <t>1100000278</t>
  </si>
  <si>
    <t>1100000285</t>
  </si>
  <si>
    <t>Total - Common Stocks - Part 4</t>
  </si>
  <si>
    <t>P_2022_A_NAIC_SCDPT6SN1</t>
  </si>
  <si>
    <t>SCDPT6SN1</t>
  </si>
  <si>
    <t>0199999</t>
  </si>
  <si>
    <t>Subtotal - Preferred Stock - Non - Insurer</t>
  </si>
  <si>
    <t>TREASURY BOND</t>
  </si>
  <si>
    <t>TREASURY NOTE</t>
  </si>
  <si>
    <t>0030000000</t>
  </si>
  <si>
    <t>0049999999</t>
  </si>
  <si>
    <t>Total - U.S. States, Territories and Possessions Bonds</t>
  </si>
  <si>
    <t>0610000001</t>
  </si>
  <si>
    <t>CA</t>
  </si>
  <si>
    <t>64966M-GL-7</t>
  </si>
  <si>
    <t>NEW YORK N Y</t>
  </si>
  <si>
    <t>0610000005</t>
  </si>
  <si>
    <t>797356-DM-1</t>
  </si>
  <si>
    <t>SAN DIEGO UNIFIED SCHOOL DISTR</t>
  </si>
  <si>
    <t>E</t>
  </si>
  <si>
    <t>AK</t>
  </si>
  <si>
    <t>ARIZONA BRD REGENTS ARIZONA BRD REGENTS</t>
  </si>
  <si>
    <t>050589-RA-0</t>
  </si>
  <si>
    <t>COMMONWEALTH FING AUTH PA REV</t>
  </si>
  <si>
    <t>20281P-ML-3</t>
  </si>
  <si>
    <t>20281P-MM-1</t>
  </si>
  <si>
    <t>NEW YORK CITY TRANSITIONAL FIN</t>
  </si>
  <si>
    <t>NEW YORK ST URBAN DEV CORP</t>
  </si>
  <si>
    <t>798153-NK-4</t>
  </si>
  <si>
    <t>798153-NL-2</t>
  </si>
  <si>
    <t>798153-NM-0</t>
  </si>
  <si>
    <t>SEATTLE CHILDREN'S HOSPITAL</t>
  </si>
  <si>
    <t>UNIVERSITY CALIF UNIVERSITY CALIF REVS</t>
  </si>
  <si>
    <t>00846U-AL-5</t>
  </si>
  <si>
    <t>03027X-AV-2</t>
  </si>
  <si>
    <t>AON CORP / AON GLOBAL HOLDINGS AON CORP/</t>
  </si>
  <si>
    <t>AON CORP / AON GLOBAL HOLDINGS</t>
  </si>
  <si>
    <t>ASSURANT INC</t>
  </si>
  <si>
    <t>052769-AG-1</t>
  </si>
  <si>
    <t>WFLLPEPC7FZXENRZV188</t>
  </si>
  <si>
    <t>11135F-AL-5</t>
  </si>
  <si>
    <t>118230-AT-8</t>
  </si>
  <si>
    <t>BUCKEYE PARTNERS Series 144A</t>
  </si>
  <si>
    <t>126117-AV-2</t>
  </si>
  <si>
    <t>126650-DF-4</t>
  </si>
  <si>
    <t>CAPITAL ONE FINANCIAL CORPORAT</t>
  </si>
  <si>
    <t>15089Q-AN-4</t>
  </si>
  <si>
    <t>20030N-DK-4</t>
  </si>
  <si>
    <t>WPTL2Z3FIYTHSP5V2253</t>
  </si>
  <si>
    <t>21871X-AE-9</t>
  </si>
  <si>
    <t>5493001NEDZNIFRP2R92</t>
  </si>
  <si>
    <t>E0KSF7PFQ210NWI8Z391</t>
  </si>
  <si>
    <t>26441C-BT-1</t>
  </si>
  <si>
    <t>XWTZDRYZPBUHIQBKDB46</t>
  </si>
  <si>
    <t>1.F Z</t>
  </si>
  <si>
    <t>291011-BL-7</t>
  </si>
  <si>
    <t>29157T-AD-8</t>
  </si>
  <si>
    <t>ENERSYS</t>
  </si>
  <si>
    <t>ENTERGY AK INC ENTERGY ARKANSAS INC</t>
  </si>
  <si>
    <t>SJ7XXD41SQU3ZNWUJ746</t>
  </si>
  <si>
    <t>30042*-AA-5</t>
  </si>
  <si>
    <t>316773-DA-5</t>
  </si>
  <si>
    <t>FLORIDA PIPELINE HOLDINGS LLC</t>
  </si>
  <si>
    <t>34489*-AA-7</t>
  </si>
  <si>
    <t>GATX CORP GATX CORPORATION</t>
  </si>
  <si>
    <t>37045X-DH-6</t>
  </si>
  <si>
    <t>37940X-AQ-5</t>
  </si>
  <si>
    <t>HANESBRANDS INC</t>
  </si>
  <si>
    <t>ITR CONCESSION CO LLC Series 144A</t>
  </si>
  <si>
    <t>VGRQXHF3J8VDLUA7XE92</t>
  </si>
  <si>
    <t>49338C-AB-9</t>
  </si>
  <si>
    <t>5493006I78VIN6J1BQ95</t>
  </si>
  <si>
    <t>LIBERTY MUTUAL GROUP INC</t>
  </si>
  <si>
    <t>548661-ED-5</t>
  </si>
  <si>
    <t>MASSMUTUAL GLOBAL FUNDING II</t>
  </si>
  <si>
    <t>58013M-FE-9</t>
  </si>
  <si>
    <t>59217G-CT-4</t>
  </si>
  <si>
    <t>595112-BP-7</t>
  </si>
  <si>
    <t>60081H-A*-9</t>
  </si>
  <si>
    <t>665228-J#-0</t>
  </si>
  <si>
    <t>RIMU48P07456QXSO0R61</t>
  </si>
  <si>
    <t>QPT5LTC66EKMD3IY9D18</t>
  </si>
  <si>
    <t>PEOPLES GAS LIGHT AND COKE COM</t>
  </si>
  <si>
    <t>PEPSICO INC</t>
  </si>
  <si>
    <t>PRICEWATERHOUSECOOPERS LLP</t>
  </si>
  <si>
    <t>PUBLIC SERVICE ENTERPRISE GROU PUBLIC SE</t>
  </si>
  <si>
    <t>REGIONS FINANCIAL CORPORATION</t>
  </si>
  <si>
    <t>776743-AH-9</t>
  </si>
  <si>
    <t>78409V-BB-9</t>
  </si>
  <si>
    <t>7-ELEVEN INC Series 144A</t>
  </si>
  <si>
    <t>WP5O65E6BMU84LNO4227</t>
  </si>
  <si>
    <t>JM SMUCKER CO</t>
  </si>
  <si>
    <t>SOUTHERN STAR CENTRAL CORP</t>
  </si>
  <si>
    <t>84857L-AA-9</t>
  </si>
  <si>
    <t>TARGA RESOURCES PARTNERS LP</t>
  </si>
  <si>
    <t>89788M-AG-7</t>
  </si>
  <si>
    <t>US BANK NATIONAL ASSOCIATION US BANK NA</t>
  </si>
  <si>
    <t>907818-FU-7</t>
  </si>
  <si>
    <t>VALERO ENERGY CORP</t>
  </si>
  <si>
    <t>VANGUARD GROUP INC/THE THE VANGUARD GROU</t>
  </si>
  <si>
    <t>92940P-AB-0</t>
  </si>
  <si>
    <t>WESTROCK CO</t>
  </si>
  <si>
    <t>WESTINGHOUSE AIR BRAKE</t>
  </si>
  <si>
    <t>WABTEC CORPORATION</t>
  </si>
  <si>
    <t>960386-AQ-3</t>
  </si>
  <si>
    <t>015644-A#-4</t>
  </si>
  <si>
    <t>L3I9ZG2KFGXZ61BMYR72</t>
  </si>
  <si>
    <t>CANPOTEX</t>
  </si>
  <si>
    <t>C4861*-AM-9</t>
  </si>
  <si>
    <t>ABN AMRO BANK NV Series 144A</t>
  </si>
  <si>
    <t>AVOLON HOLDINGS FUNDING LTD</t>
  </si>
  <si>
    <t>BACARDI LTD</t>
  </si>
  <si>
    <t>ENEL FINANCE INTERNATIONAL NV Series 144</t>
  </si>
  <si>
    <t>404280-CX-5</t>
  </si>
  <si>
    <t>HUTCHISON WHAMPOA FIN CI LTD 144A</t>
  </si>
  <si>
    <t>449282-AA-0</t>
  </si>
  <si>
    <t>45685N-AA-4</t>
  </si>
  <si>
    <t>NORDEA BANK ABP</t>
  </si>
  <si>
    <t>81180W-BF-7</t>
  </si>
  <si>
    <t>SEAGATE HDD CAYMAN</t>
  </si>
  <si>
    <t>SUMITOMO MITSUI FINANCIAL GROU</t>
  </si>
  <si>
    <t>874060-AX-4</t>
  </si>
  <si>
    <t>TATE &amp; LYLE INTL FIN PLC</t>
  </si>
  <si>
    <t>TATE &amp; LYLE INTERNATIONAL FINA</t>
  </si>
  <si>
    <t>961214-FG-3</t>
  </si>
  <si>
    <t>A3158#-AC-3</t>
  </si>
  <si>
    <t>OMEGA LEASING NO 9 LTD OMEGA LEASING (NO</t>
  </si>
  <si>
    <t>213800JKM5UQHFJOTZ25</t>
  </si>
  <si>
    <t>2.A YE</t>
  </si>
  <si>
    <t>KONINKLIJKE VOPAK VN</t>
  </si>
  <si>
    <t>KONINKLIJKE VOPAK NV</t>
  </si>
  <si>
    <t>875500WDMTGXKT4OWJ28</t>
  </si>
  <si>
    <t>Landsvirkjun LANDSVIRKJUN</t>
  </si>
  <si>
    <t>1040000001</t>
  </si>
  <si>
    <t>ARI FLEET LEASE TRUST ARIFL_22</t>
  </si>
  <si>
    <t>1040000005</t>
  </si>
  <si>
    <t>023771-R9-1</t>
  </si>
  <si>
    <t>1040000012</t>
  </si>
  <si>
    <t>1040000016</t>
  </si>
  <si>
    <t>1040000023</t>
  </si>
  <si>
    <t>BEACON CONTAINER FINANCE LLC I Series 14</t>
  </si>
  <si>
    <t>1040000030</t>
  </si>
  <si>
    <t>1040000041</t>
  </si>
  <si>
    <t>165183-CB-8</t>
  </si>
  <si>
    <t>165183-CC-6</t>
  </si>
  <si>
    <t>FORD CREDIT AUTO OWNER TRUST F Series 14</t>
  </si>
  <si>
    <t>FORD CREDIT AUTO LEASE TRUST F FORD CRED</t>
  </si>
  <si>
    <t>36263H-AC-2</t>
  </si>
  <si>
    <t>36266F-AE-9</t>
  </si>
  <si>
    <t>HILTON GRAND VACATIONS TRUST H Series 14</t>
  </si>
  <si>
    <t>1040000103</t>
  </si>
  <si>
    <t>1040000107</t>
  </si>
  <si>
    <t>553896-AA-9</t>
  </si>
  <si>
    <t>553896-AB-7</t>
  </si>
  <si>
    <t>1040000110</t>
  </si>
  <si>
    <t>55389P-AB-5</t>
  </si>
  <si>
    <t>MVW OWNER TRUST MVWOT_19-1A Series 144A</t>
  </si>
  <si>
    <t>55389P-AC-3</t>
  </si>
  <si>
    <t>1040000114</t>
  </si>
  <si>
    <t>MVW OWNER TRUST MVWOT_20-1A Series 144A</t>
  </si>
  <si>
    <t>55400E-AB-5</t>
  </si>
  <si>
    <t>1040000121</t>
  </si>
  <si>
    <t>MARLIN LEASING RECEIVABLES LLC Series 14</t>
  </si>
  <si>
    <t>68504L-AA-9</t>
  </si>
  <si>
    <t>68504L-AB-7</t>
  </si>
  <si>
    <t>1040000132</t>
  </si>
  <si>
    <t>SIERRA RECEIVABLES FUNDING COM Series 14</t>
  </si>
  <si>
    <t>1040000150</t>
  </si>
  <si>
    <t>826934-AA-9</t>
  </si>
  <si>
    <t>826934-AB-7</t>
  </si>
  <si>
    <t>TIF FUNDING II LLC TIF_20-1A Series 144A</t>
  </si>
  <si>
    <t>89237M-AA-7</t>
  </si>
  <si>
    <t>UNION PACIFIC RAILROAD CO 2015</t>
  </si>
  <si>
    <t>UNITED AIRLINES 2019-2 CLASS A UNITED AI</t>
  </si>
  <si>
    <t>918286-AA-3</t>
  </si>
  <si>
    <t>92888B-AF-6</t>
  </si>
  <si>
    <t>950739-AA-0</t>
  </si>
  <si>
    <t>WEPCO ENVIRONMENTAL TRUST FINA WEPCO ENV</t>
  </si>
  <si>
    <t>WHEELS FLEET LEASE FUNDING LLC</t>
  </si>
  <si>
    <t>EVERGREEN CREDIT CARD TRUST EV</t>
  </si>
  <si>
    <t>576339-CR-4</t>
  </si>
  <si>
    <t>CBAM CLO MANAGEMENT CBAM_18-5A Series 14</t>
  </si>
  <si>
    <t>CEDAR FUNDING LTD CEDF_14-4A</t>
  </si>
  <si>
    <t>1040000201</t>
  </si>
  <si>
    <t>1040000205</t>
  </si>
  <si>
    <t>48662L-AC-5</t>
  </si>
  <si>
    <t>55817K-AE-2</t>
  </si>
  <si>
    <t>1040000212</t>
  </si>
  <si>
    <t>1040000216</t>
  </si>
  <si>
    <t>TEXTAINER MARINE CONTAINERS VI Series 14</t>
  </si>
  <si>
    <t>1040000223</t>
  </si>
  <si>
    <t>Total - Industrial and Miscellaneous (Unaffiliated) Bonds</t>
  </si>
  <si>
    <t>Total - Hybrid Securities</t>
  </si>
  <si>
    <t>1440000000</t>
  </si>
  <si>
    <t>1459999999</t>
  </si>
  <si>
    <t>Subtotal - Bonds - Affiliated Bank Loans - Acquired</t>
  </si>
  <si>
    <t>1509999999</t>
  </si>
  <si>
    <t>1819999999</t>
  </si>
  <si>
    <t>Subtotal - Bonds - Unaffiliated Bank Loans - Acquired</t>
  </si>
  <si>
    <t>Total - Residential Mortgage-Backed Securities</t>
  </si>
  <si>
    <t xml:space="preserve">NAIC Designation Modifier C Amount </t>
  </si>
  <si>
    <t>NAIC Designation 3</t>
  </si>
  <si>
    <t>Total - Preferred Stocks</t>
  </si>
  <si>
    <t>5010000000</t>
  </si>
  <si>
    <t>5320000000</t>
  </si>
  <si>
    <t>Subtotal - Common Stocks - Mutual Funds - Designations Not Assigned by the SVO</t>
  </si>
  <si>
    <t>GENWORTH SEGUROS DE CREDIT A LA VIVIENDA</t>
  </si>
  <si>
    <t>Total Preferred and Common Stocks</t>
  </si>
  <si>
    <t>0700000000</t>
  </si>
  <si>
    <t>HSBC SECURITIES INC</t>
  </si>
  <si>
    <t>EATON CORPORATION    4.150% 03/15/33</t>
  </si>
  <si>
    <t>LEIDOS INC    4.375% 05/15/30</t>
  </si>
  <si>
    <t>CREDIT AGRICOLE INDOSUEZ</t>
  </si>
  <si>
    <t>Subtotal - Bonds - SVO Identified Funds</t>
  </si>
  <si>
    <t>5989999997</t>
  </si>
  <si>
    <t>0300000001</t>
  </si>
  <si>
    <t>SIMI VALLEY CALIF UNI SCH DIST MUNI BND</t>
  </si>
  <si>
    <t>0700000004</t>
  </si>
  <si>
    <t>VENTURA CNTY CALIF CMNTY COLLE MUNI BND</t>
  </si>
  <si>
    <t>VENTURA CNTY CALIF CMNTY COLLE</t>
  </si>
  <si>
    <t>45506D-WN-1</t>
  </si>
  <si>
    <t>KANSAS ST DEV FIN AUTH KANSAS ST DEV FIN</t>
  </si>
  <si>
    <t>AMAZON.COM INC    2.800% 08/22/24</t>
  </si>
  <si>
    <t>03027X-AB-6</t>
  </si>
  <si>
    <t>CCG RECEIVABLES TRUST CCG_18-2</t>
  </si>
  <si>
    <t>Call      104.5530</t>
  </si>
  <si>
    <t>14913Q-3A-5</t>
  </si>
  <si>
    <t>24422E-UM-9</t>
  </si>
  <si>
    <t>26224H-AH-0</t>
  </si>
  <si>
    <t>26875P-AK-7</t>
  </si>
  <si>
    <t>370334-CF-9</t>
  </si>
  <si>
    <t>40438D-AE-9</t>
  </si>
  <si>
    <t>KELLOGG COMPANY</t>
  </si>
  <si>
    <t>Call      102.0284</t>
  </si>
  <si>
    <t>H1J8DDZKZP6H7RWC0H53</t>
  </si>
  <si>
    <t>841504-AB-9</t>
  </si>
  <si>
    <t>882508-BB-9</t>
  </si>
  <si>
    <t>VALERO ENERGY PARTNERS LP</t>
  </si>
  <si>
    <t>549300NFTY73920OYK69</t>
  </si>
  <si>
    <t>08186U-AC-6</t>
  </si>
  <si>
    <t>NOD8387QYGIZ4U0YPO95</t>
  </si>
  <si>
    <t>IHS MARKIT LTD Series 144A</t>
  </si>
  <si>
    <t>EQUINOR ASA    2.450% 01/17/23</t>
  </si>
  <si>
    <t xml:space="preserve">Prior Year Sub-2 Verified Value </t>
  </si>
  <si>
    <t>1200000</t>
  </si>
  <si>
    <t>Subtotal - Common Stock - U.S. Life Insurer</t>
  </si>
  <si>
    <t>1499999</t>
  </si>
  <si>
    <t>0000001</t>
  </si>
  <si>
    <t xml:space="preserve">CUSIP Identification </t>
  </si>
  <si>
    <t xml:space="preserve">Fair Value </t>
  </si>
  <si>
    <t xml:space="preserve">Source Used to Obtain Fair Value </t>
  </si>
  <si>
    <t>2A</t>
  </si>
  <si>
    <t>US TREASURY</t>
  </si>
  <si>
    <t>2</t>
  </si>
  <si>
    <t>AO</t>
  </si>
  <si>
    <t>912828-R3-6</t>
  </si>
  <si>
    <t>{BLANK}</t>
  </si>
  <si>
    <t>JD</t>
  </si>
  <si>
    <t>0440000000</t>
  </si>
  <si>
    <t>0509999999</t>
  </si>
  <si>
    <t>54438C-YP-1</t>
  </si>
  <si>
    <t>N/A</t>
  </si>
  <si>
    <t>0610000009</t>
  </si>
  <si>
    <t>040654-XY-6</t>
  </si>
  <si>
    <t>AUBURN UNIV ALA GEN FEE REV</t>
  </si>
  <si>
    <t>575831-GY-2</t>
  </si>
  <si>
    <t>64971M-T4-4</t>
  </si>
  <si>
    <t>549300C8XO7EXTX2XU71</t>
  </si>
  <si>
    <t>64990F-T7-9</t>
  </si>
  <si>
    <t>650035-TD-0</t>
  </si>
  <si>
    <t>FL</t>
  </si>
  <si>
    <t>0819999999</t>
  </si>
  <si>
    <t>1010000003</t>
  </si>
  <si>
    <t>1010000007</t>
  </si>
  <si>
    <t>AIR PRODUCTS AND CHEMICALS INC</t>
  </si>
  <si>
    <t>1010000010</t>
  </si>
  <si>
    <t>1010000014</t>
  </si>
  <si>
    <t>1010000021</t>
  </si>
  <si>
    <t>AMERIPRISE FINANCIAL INC</t>
  </si>
  <si>
    <t>1010000025</t>
  </si>
  <si>
    <t>ARIZONA PUBLIC SERVICE CO</t>
  </si>
  <si>
    <t>1010000032</t>
  </si>
  <si>
    <t>ATHENE GLOBAL FUNDING</t>
  </si>
  <si>
    <t>TRUIST FINANCIAL CORP</t>
  </si>
  <si>
    <t>06051G-HY-8</t>
  </si>
  <si>
    <t>1010000050</t>
  </si>
  <si>
    <t>06051G-KJ-7</t>
  </si>
  <si>
    <t>09261H-A@-6</t>
  </si>
  <si>
    <t>110122-CN-6</t>
  </si>
  <si>
    <t>11134L-AR-0</t>
  </si>
  <si>
    <t>BUNGE LIMITED FINANCE CORP</t>
  </si>
  <si>
    <t>CIT GROUP INC</t>
  </si>
  <si>
    <t>14040H-CV-5</t>
  </si>
  <si>
    <t>CD30XVRLT4QO00B1C706</t>
  </si>
  <si>
    <t>1010000101</t>
  </si>
  <si>
    <t>1010000105</t>
  </si>
  <si>
    <t>5493004DVZLD37DJ0H83</t>
  </si>
  <si>
    <t>CHEVRON USA INC</t>
  </si>
  <si>
    <t>1010000112</t>
  </si>
  <si>
    <t>CHICK-FIL-A INC</t>
  </si>
  <si>
    <t>1010000116</t>
  </si>
  <si>
    <t>1010000123</t>
  </si>
  <si>
    <t>COLONIAL ENTERPRISES INC</t>
  </si>
  <si>
    <t>20030N-CS-8</t>
  </si>
  <si>
    <t>1010000130</t>
  </si>
  <si>
    <t>1.F</t>
  </si>
  <si>
    <t>21036P-BK-3</t>
  </si>
  <si>
    <t>1010000141</t>
  </si>
  <si>
    <t>260543-CN-1</t>
  </si>
  <si>
    <t>DOW CHEMICAL COMPANY THE</t>
  </si>
  <si>
    <t>5493008K8W3OKZE54J59</t>
  </si>
  <si>
    <t>FIFTH THIRD BANCORP</t>
  </si>
  <si>
    <t>34490@-AH-7</t>
  </si>
  <si>
    <t>NATIONAL FOOTBALL LEAGUE TRUST NATIONAL</t>
  </si>
  <si>
    <t>1010000203</t>
  </si>
  <si>
    <t>1010000207</t>
  </si>
  <si>
    <t>T2ZG1WRWZ4BUCMQL9224</t>
  </si>
  <si>
    <t>1010000210</t>
  </si>
  <si>
    <t>1010000214</t>
  </si>
  <si>
    <t>GLAXOSK CAP INC GLAXOSMITHKLINE CAPITAL</t>
  </si>
  <si>
    <t>1010000221</t>
  </si>
  <si>
    <t>1010000232</t>
  </si>
  <si>
    <t>BX51Z52KU3O80ZQ66M29</t>
  </si>
  <si>
    <t>444859-BT-8</t>
  </si>
  <si>
    <t>INTEL CORP INTEL CORPORATION</t>
  </si>
  <si>
    <t>INTERNATIONAL FLAVORS &amp; FRAGRA Series 14</t>
  </si>
  <si>
    <t>8I5DZWZKVSZI1NUHU748</t>
  </si>
  <si>
    <t>1010000250</t>
  </si>
  <si>
    <t>LAM RSRCH CORP LAM RESEARCH CORPORATION</t>
  </si>
  <si>
    <t>LAM RESEARCH CORPORATION</t>
  </si>
  <si>
    <t>55336V-BU-3</t>
  </si>
  <si>
    <t>57636Q-AR-5</t>
  </si>
  <si>
    <t>MCDONALDS CORPORATION</t>
  </si>
  <si>
    <t>MCKINSEY &amp; CO</t>
  </si>
  <si>
    <t>1010000301</t>
  </si>
  <si>
    <t>1010000305</t>
  </si>
  <si>
    <t>1010000312</t>
  </si>
  <si>
    <t>63636#-AG-1</t>
  </si>
  <si>
    <t>1010000323</t>
  </si>
  <si>
    <t>TAE73CY392TBWJ3O3305</t>
  </si>
  <si>
    <t>1010000330</t>
  </si>
  <si>
    <t>635400LZXFVELZDVP257</t>
  </si>
  <si>
    <t>1010000341</t>
  </si>
  <si>
    <t>PNC FINANCIAL SERVICES GROUP PNC FINANCI</t>
  </si>
  <si>
    <t>AD6GFRVSDT01YPT1CS68</t>
  </si>
  <si>
    <t>701094-AM-6</t>
  </si>
  <si>
    <t>711123-F@-3</t>
  </si>
  <si>
    <t>PNC EQUIPMENT FINANCE LLC PNC EQUIPMENT</t>
  </si>
  <si>
    <t>PNC EQUIPMENT FINANCE LLC SERI</t>
  </si>
  <si>
    <t>RELIANCE STEEL &amp; ALUMINUM CO. RELIANCE S</t>
  </si>
  <si>
    <t>RELIANCE STEEL &amp; ALUMINUM CO.</t>
  </si>
  <si>
    <t>RELIANCE STANDARD LIFE GLOBAL</t>
  </si>
  <si>
    <t>80282K-AZ-9</t>
  </si>
  <si>
    <t>808513-BB-0</t>
  </si>
  <si>
    <t>817826-AD-2</t>
  </si>
  <si>
    <t>SIRIUS XM RADIO INC</t>
  </si>
  <si>
    <t>SMITHFIELD FOODS, INC. Series 144A</t>
  </si>
  <si>
    <t>832696-AS-7</t>
  </si>
  <si>
    <t>SOUTH JERSEY IND INC SOUTH JERSEY INDUST</t>
  </si>
  <si>
    <t>1010000403</t>
  </si>
  <si>
    <t>STANLEY BLACK &amp; DECKER INC</t>
  </si>
  <si>
    <t>549300ZFEEJ2IP5VME73</t>
  </si>
  <si>
    <t>1010000410</t>
  </si>
  <si>
    <t>1010000414</t>
  </si>
  <si>
    <t>88023U-AJ-0</t>
  </si>
  <si>
    <t>TEMPUR SEALY INTERNATIONAL INC Series 14</t>
  </si>
  <si>
    <t>TOYOTA MOTOR CREDIT CORP</t>
  </si>
  <si>
    <t>1010000421</t>
  </si>
  <si>
    <t>UGI UTIL, INC. UGI UTILITIES INC.</t>
  </si>
  <si>
    <t>US BANK NA CINCINNATI</t>
  </si>
  <si>
    <t>904764-AX-5</t>
  </si>
  <si>
    <t>907818-ES-3</t>
  </si>
  <si>
    <t>1010000432</t>
  </si>
  <si>
    <t>910637-V*-5</t>
  </si>
  <si>
    <t>91159H-HU-7</t>
  </si>
  <si>
    <t>549300GHBMY8T5GXDE41</t>
  </si>
  <si>
    <t>549300XTO5VR8SKV1V74</t>
  </si>
  <si>
    <t>VERIZON COMMUNICATIONS INC</t>
  </si>
  <si>
    <t>WAL-MART STORES INC</t>
  </si>
  <si>
    <t>WESTINGHOUSE AIR BRAKE WABTEC CORPORATIO</t>
  </si>
  <si>
    <t>008474-C#-3</t>
  </si>
  <si>
    <t>ALGOMA CENTRAL CORP</t>
  </si>
  <si>
    <t>BANK OF NOVA SCOTIA SCOTIABAN</t>
  </si>
  <si>
    <t>98TPTUM4IVMFCZBCUR27</t>
  </si>
  <si>
    <t>FAIRFAX FINANCIAL HOLDINGS LTD Series 14</t>
  </si>
  <si>
    <t>BFXS5XCH7N0Y05NIXW11</t>
  </si>
  <si>
    <t>00774M-AW-5</t>
  </si>
  <si>
    <t>1010000501</t>
  </si>
  <si>
    <t>R0MUWSFPU8MPRO8K5P83</t>
  </si>
  <si>
    <t>1010000505</t>
  </si>
  <si>
    <t>1010000512</t>
  </si>
  <si>
    <t>2027A0-KF-5</t>
  </si>
  <si>
    <t>COOPERAT RABOBANK UA/NY RABOBANK NEDERLA</t>
  </si>
  <si>
    <t>1010000523</t>
  </si>
  <si>
    <t>1010000530</t>
  </si>
  <si>
    <t>MITSUBISHI UFJ FINANCIAL GROUP MITSUBISH</t>
  </si>
  <si>
    <t>63254A-AP-3</t>
  </si>
  <si>
    <t>65558R-AD-1</t>
  </si>
  <si>
    <t>DG3RU1DBUFHT4ZF9WN62</t>
  </si>
  <si>
    <t>RECKITT BENCKISER TREASURY SER Series 14</t>
  </si>
  <si>
    <t>RECKITT BENCKISER TREASURY SER</t>
  </si>
  <si>
    <t>THAMES WTR UTILS THAMES WATER UTILITIES</t>
  </si>
  <si>
    <t>Q3647#-AC-5</t>
  </si>
  <si>
    <t>549300HQJI377ZHW7C47</t>
  </si>
  <si>
    <t>1040000009</t>
  </si>
  <si>
    <t>03236X-AD-9</t>
  </si>
  <si>
    <t>BXG RECEIVABLES NOTE TRUST BXG SERIES 14</t>
  </si>
  <si>
    <t>1040000027</t>
  </si>
  <si>
    <t>CCG RECEIVABLES TRUST CCG_19-2 Series 14</t>
  </si>
  <si>
    <t>12511E-AE-6</t>
  </si>
  <si>
    <t>1040000034</t>
  </si>
  <si>
    <t>1040000038</t>
  </si>
  <si>
    <t>14687B-AJ-5</t>
  </si>
  <si>
    <t>1040000045</t>
  </si>
  <si>
    <t>1040000049</t>
  </si>
  <si>
    <t>1040000052</t>
  </si>
  <si>
    <t>1040000056</t>
  </si>
  <si>
    <t>1040000063</t>
  </si>
  <si>
    <t>34532R-AB-2</t>
  </si>
  <si>
    <t>1040000067</t>
  </si>
  <si>
    <t>34532R-AC-0</t>
  </si>
  <si>
    <t>1040000070</t>
  </si>
  <si>
    <t>GM FINANCIAL CONSUMER AUTOMOBI GM FINANC</t>
  </si>
  <si>
    <t>1040000074</t>
  </si>
  <si>
    <t>36263H-AB-4</t>
  </si>
  <si>
    <t>1040000081</t>
  </si>
  <si>
    <t>1040000085</t>
  </si>
  <si>
    <t>HIN TIMESHARE TRUST HINTT_20-A Series 14</t>
  </si>
  <si>
    <t>1040000092</t>
  </si>
  <si>
    <t>HILTON GRAND VACATIONS TRUST H</t>
  </si>
  <si>
    <t>43284H-AA-7</t>
  </si>
  <si>
    <t>HGVT_19-AA</t>
  </si>
  <si>
    <t>43284H-AB-5</t>
  </si>
  <si>
    <t>43284H-AC-3</t>
  </si>
  <si>
    <t>MVW OWNER TRUST MVWOT_19-2A</t>
  </si>
  <si>
    <t>55400E-AA-7</t>
  </si>
  <si>
    <t>1040000118</t>
  </si>
  <si>
    <t>MARLIN LEASING RECEIVABLES LLC</t>
  </si>
  <si>
    <t>1040000125</t>
  </si>
  <si>
    <t>1040000129</t>
  </si>
  <si>
    <t>1040000136</t>
  </si>
  <si>
    <t>78403D-AT-7</t>
  </si>
  <si>
    <t>SIERRA RECEIVABLES FUNDING COM</t>
  </si>
  <si>
    <t>1040000143</t>
  </si>
  <si>
    <t>1040000147</t>
  </si>
  <si>
    <t>SIERRA RECEIVABLES FUNDING CO Series 144</t>
  </si>
  <si>
    <t>1040000154</t>
  </si>
  <si>
    <t>1040000158</t>
  </si>
  <si>
    <t>1040000161</t>
  </si>
  <si>
    <t>1040000165</t>
  </si>
  <si>
    <t>TEXTAINER MARINE CONTAINERS LT Series 14</t>
  </si>
  <si>
    <t>90932J-AA-0</t>
  </si>
  <si>
    <t>1040000172</t>
  </si>
  <si>
    <t>95058X-AL-2</t>
  </si>
  <si>
    <t>1040000176</t>
  </si>
  <si>
    <t>30023J-CB-2</t>
  </si>
  <si>
    <t>1040000183</t>
  </si>
  <si>
    <t>BLACKBIRD CAPITAL AIRCRAFT BBI</t>
  </si>
  <si>
    <t>1040000190</t>
  </si>
  <si>
    <t>CARLYLE GLOBAL MARKET STRATEGI</t>
  </si>
  <si>
    <t>GALAXY CLO LTD GALXY_15-20A</t>
  </si>
  <si>
    <t>GLOBAL SC FINANCE SRL SEACO_20 Series 14</t>
  </si>
  <si>
    <t>1040000209</t>
  </si>
  <si>
    <t>55817K-AC-6</t>
  </si>
  <si>
    <t>Signal Peak CLO, LLC</t>
  </si>
  <si>
    <t>VOYA CLO LTD VOYA_14-4A</t>
  </si>
  <si>
    <t>VOYA CLO LTD VOYA_19-4A Series 144A</t>
  </si>
  <si>
    <t>1230000000</t>
  </si>
  <si>
    <t>1249999999</t>
  </si>
  <si>
    <t>Subtotal - Bonds - Hybrid Securities - Other Loan-Backed and Structured Securities</t>
  </si>
  <si>
    <t>Subtotal - Bonds - Unaffiliated Bank Loans - Issued</t>
  </si>
  <si>
    <t>Total - Unaffiliated Certificates of Deposit</t>
  </si>
  <si>
    <t xml:space="preserve">NAIC Designation Modifier D Amount </t>
  </si>
  <si>
    <t xml:space="preserve">Total Change in Book/Adjusted Carrying Value (15 + 16 - 17) </t>
  </si>
  <si>
    <t>4010000000</t>
  </si>
  <si>
    <t>4320000000</t>
  </si>
  <si>
    <t>5029999999</t>
  </si>
  <si>
    <t>P_2022_A_NAIC_SCDPT3</t>
  </si>
  <si>
    <t>SCDPT3</t>
  </si>
  <si>
    <t>1100000002</t>
  </si>
  <si>
    <t>1100000006</t>
  </si>
  <si>
    <t>1100000013</t>
  </si>
  <si>
    <t>1100000020</t>
  </si>
  <si>
    <t>1100000024</t>
  </si>
  <si>
    <t>1100000031</t>
  </si>
  <si>
    <t>1100000100</t>
  </si>
  <si>
    <t>LOWES COMPANIES INC    5.000% 04/15/33</t>
  </si>
  <si>
    <t>1100000104</t>
  </si>
  <si>
    <t>1100000111</t>
  </si>
  <si>
    <t>MORGAN STANLEY    4.889% 07/20/33</t>
  </si>
  <si>
    <t>1100000115</t>
  </si>
  <si>
    <t>1100000122</t>
  </si>
  <si>
    <t>1100000133</t>
  </si>
  <si>
    <t>1100000140</t>
  </si>
  <si>
    <t>1900000000</t>
  </si>
  <si>
    <t>Subtotal - Preferred Stocks - Industrial and Miscellaneous (Unaffiliated) Perpetual Preferred</t>
  </si>
  <si>
    <t>Subtotal - Preferred Stocks - Industrial and Miscellaneous (Unaffiliated) Redeemable Preferred</t>
  </si>
  <si>
    <t>Total - Common Stocks</t>
  </si>
  <si>
    <t xml:space="preserve">Name of Purchaser </t>
  </si>
  <si>
    <t>002824-BA-7</t>
  </si>
  <si>
    <t>ABBOTT LABORATORIES    2.550% 03/15/22</t>
  </si>
  <si>
    <t>ABBOTT LABORATORIES</t>
  </si>
  <si>
    <t>12509K-AD-8</t>
  </si>
  <si>
    <t>12510G-AC-6</t>
  </si>
  <si>
    <t>CARMX_18-2</t>
  </si>
  <si>
    <t>17275R-AN-2</t>
  </si>
  <si>
    <t>CISCO SYSTEMS INC    3.625% 03/04/24</t>
  </si>
  <si>
    <t>22822V-AG-6</t>
  </si>
  <si>
    <t>38013F-AG-6</t>
  </si>
  <si>
    <t>39154T-AY-4</t>
  </si>
  <si>
    <t>40438F-AF-1</t>
  </si>
  <si>
    <t>LEIDOS INC    3.625% 05/15/25</t>
  </si>
  <si>
    <t>553894-AB-2</t>
  </si>
  <si>
    <t>594918-BJ-2</t>
  </si>
  <si>
    <t>MICROSOFT CORP MICROSOFT CORPORATION</t>
  </si>
  <si>
    <t>3S1GHB0TEH85KX44SB51</t>
  </si>
  <si>
    <t>747262-AY-9</t>
  </si>
  <si>
    <t>QVC INC</t>
  </si>
  <si>
    <t>SCHLUMBERGER HOLDINGS CORP Series 144A</t>
  </si>
  <si>
    <t>1100000202</t>
  </si>
  <si>
    <t>1100000206</t>
  </si>
  <si>
    <t>TD AMERITRADE HLDG CORP</t>
  </si>
  <si>
    <t>1100000213</t>
  </si>
  <si>
    <t>1100000220</t>
  </si>
  <si>
    <t>1100000224</t>
  </si>
  <si>
    <t>1100000231</t>
  </si>
  <si>
    <t>8MYN82XMYQH89CTMTH67</t>
  </si>
  <si>
    <t>CREDIT AGRICOLE SA/LONDON Series 144A</t>
  </si>
  <si>
    <t>IHS MARKIT LTD</t>
  </si>
  <si>
    <t>86562M-AU-4</t>
  </si>
  <si>
    <t>Z ENERGY LTD    3.830% 01/04/26</t>
  </si>
  <si>
    <t>Schedule D - Part 5 - Long Term Bonds and Stocks Acquired and Fully Disposed Of</t>
  </si>
  <si>
    <t>0400000</t>
  </si>
  <si>
    <t>0699999</t>
  </si>
  <si>
    <t>Subtotal - Common Stock - U.S. Health Entity</t>
  </si>
  <si>
    <t xml:space="preserve">Collateral Type </t>
  </si>
  <si>
    <t xml:space="preserve">Call Price </t>
  </si>
  <si>
    <t>Bloomberg</t>
  </si>
  <si>
    <t>6</t>
  </si>
  <si>
    <t>0010000003</t>
  </si>
  <si>
    <t>0010000007</t>
  </si>
  <si>
    <t>0010000010</t>
  </si>
  <si>
    <t>0010000014</t>
  </si>
  <si>
    <t>Subtotal - Bonds - U.S. Governments - Issuer Obligations</t>
  </si>
  <si>
    <t>0230000000</t>
  </si>
  <si>
    <t>0249999999</t>
  </si>
  <si>
    <t>0410000002</t>
  </si>
  <si>
    <t>5493001N1YCXNI1O7K10</t>
  </si>
  <si>
    <t>0410000006</t>
  </si>
  <si>
    <t>Subtotal - Bonds - U.S. States, Territories and Possessions - Other Loan-Backed and Structured Securities</t>
  </si>
  <si>
    <t>0810000001</t>
  </si>
  <si>
    <t>0810000005</t>
  </si>
  <si>
    <t>ALABAMA ECON SETTLEMENT AUTH B ALABAMA E</t>
  </si>
  <si>
    <t>ALABAMA ECONOMIC SETTLEMENT AU</t>
  </si>
  <si>
    <t>ALASKA MUN BD BK AUTH</t>
  </si>
  <si>
    <t>040654-XX-8</t>
  </si>
  <si>
    <t>0810000012</t>
  </si>
  <si>
    <t>050589-QZ-6</t>
  </si>
  <si>
    <t>0810000016</t>
  </si>
  <si>
    <t>0810000023</t>
  </si>
  <si>
    <t>0810000030</t>
  </si>
  <si>
    <t>HARRIS CNTY TEX MET TRAN AUTH</t>
  </si>
  <si>
    <t>ILLINOIS FIN MUNI BND REV</t>
  </si>
  <si>
    <t>LOUISIANA (STATE OF)</t>
  </si>
  <si>
    <t>0810000041</t>
  </si>
  <si>
    <t>81257V-AA-9</t>
  </si>
  <si>
    <t>549300ZJ87IUCDSX4306</t>
  </si>
  <si>
    <t>882830-BC-5</t>
  </si>
  <si>
    <t>549300VTAT608CNZ5827</t>
  </si>
  <si>
    <t>ALLIANT ENERGY FINANCE LLC</t>
  </si>
  <si>
    <t>ALLISON TRANSMISSION INC Series 144A</t>
  </si>
  <si>
    <t>025816-CW-7</t>
  </si>
  <si>
    <t>1010000018</t>
  </si>
  <si>
    <t>1010000029</t>
  </si>
  <si>
    <t>1010000036</t>
  </si>
  <si>
    <t>04685A-3L-3</t>
  </si>
  <si>
    <t>1010000043</t>
  </si>
  <si>
    <t>05531F-BF-9</t>
  </si>
  <si>
    <t>1010000047</t>
  </si>
  <si>
    <t>06051G-GZ-6</t>
  </si>
  <si>
    <t>1010000054</t>
  </si>
  <si>
    <t>1010000058</t>
  </si>
  <si>
    <t>09261B-AC-4</t>
  </si>
  <si>
    <t>1010000061</t>
  </si>
  <si>
    <t>096630-AD-0</t>
  </si>
  <si>
    <t>1010000065</t>
  </si>
  <si>
    <t>1010000072</t>
  </si>
  <si>
    <t>11135F-BE-0</t>
  </si>
  <si>
    <t>BROADCOM INC Series 144A</t>
  </si>
  <si>
    <t>83BQ1DXS6VA5GZFK8S35</t>
  </si>
  <si>
    <t>1010000076</t>
  </si>
  <si>
    <t>549300PC8KTJ71XKFY89</t>
  </si>
  <si>
    <t>BUCKEYE PARTNERS LP</t>
  </si>
  <si>
    <t>1010000083</t>
  </si>
  <si>
    <t>CNA FINANCIAL CORP</t>
  </si>
  <si>
    <t>127097-AG-8</t>
  </si>
  <si>
    <t>COTERRA ENERGY INC</t>
  </si>
  <si>
    <t>1010000090</t>
  </si>
  <si>
    <t>CAPITAL ONE FIN CORP CAPITAL ONE FINANCI</t>
  </si>
  <si>
    <t>ZUE8T73ROZOF6FLBAR73</t>
  </si>
  <si>
    <t>CCU46N3GJMF4OK4N7U60</t>
  </si>
  <si>
    <t>1010000109</t>
  </si>
  <si>
    <t>VA8TZDWPEZYU430RZ444</t>
  </si>
  <si>
    <t>17327C-AM-5</t>
  </si>
  <si>
    <t>CLEAN HARBORS, INC. Series 144A</t>
  </si>
  <si>
    <t>20030N-BW-0</t>
  </si>
  <si>
    <t>1010000127</t>
  </si>
  <si>
    <t>COMCAST CORP COMCAST CORPORATION</t>
  </si>
  <si>
    <t>1010000134</t>
  </si>
  <si>
    <t>1010000138</t>
  </si>
  <si>
    <t>224044-CH-8</t>
  </si>
  <si>
    <t>22822V-AZ-4</t>
  </si>
  <si>
    <t>1010000145</t>
  </si>
  <si>
    <t>DT MIDSTREAM INC Series 144A</t>
  </si>
  <si>
    <t>1010000149</t>
  </si>
  <si>
    <t>1010000152</t>
  </si>
  <si>
    <t>1010000156</t>
  </si>
  <si>
    <t>25278X-AN-9</t>
  </si>
  <si>
    <t>25278X-AV-1</t>
  </si>
  <si>
    <t>WALT DISNEY COMPANY</t>
  </si>
  <si>
    <t>1010000163</t>
  </si>
  <si>
    <t>DOWDUPONT INC</t>
  </si>
  <si>
    <t>KEURIG DR PEPPER INC</t>
  </si>
  <si>
    <t>1010000167</t>
  </si>
  <si>
    <t>1010000170</t>
  </si>
  <si>
    <t>1010000174</t>
  </si>
  <si>
    <t>ENTERGY ARKANSAS INC</t>
  </si>
  <si>
    <t>1010000181</t>
  </si>
  <si>
    <t>31620M-BS-4</t>
  </si>
  <si>
    <t>FIDELITY NATIONAL INFORMATION</t>
  </si>
  <si>
    <t>1010000192</t>
  </si>
  <si>
    <t>337738-AU-2</t>
  </si>
  <si>
    <t>340711-AW-0</t>
  </si>
  <si>
    <t>GATX CORP</t>
  </si>
  <si>
    <t>GEORGIA-PACIFIC LLC Series 144A</t>
  </si>
  <si>
    <t>1010000218</t>
  </si>
  <si>
    <t>GROUP 1 AUTO INC Series 144A</t>
  </si>
  <si>
    <t>HCA THE HEALTHCARE CO</t>
  </si>
  <si>
    <t>GX5LWVWZLL5S4W1L2F20</t>
  </si>
  <si>
    <t>1010000225</t>
  </si>
  <si>
    <t>HARDWOOD FUNDING LLC</t>
  </si>
  <si>
    <t>41242*-BR-2</t>
  </si>
  <si>
    <t>1010000229</t>
  </si>
  <si>
    <t>HOME DEPOT INC</t>
  </si>
  <si>
    <t>1010000236</t>
  </si>
  <si>
    <t>ITR CONCESSION CO LLC</t>
  </si>
  <si>
    <t>1010000243</t>
  </si>
  <si>
    <t>466313-AH-6</t>
  </si>
  <si>
    <t>1010000247</t>
  </si>
  <si>
    <t>1010000254</t>
  </si>
  <si>
    <t>48121@-AG-6</t>
  </si>
  <si>
    <t>1010000258</t>
  </si>
  <si>
    <t>1010000261</t>
  </si>
  <si>
    <t>549300GLKVIO8YRCYN02</t>
  </si>
  <si>
    <t>512807-AS-7</t>
  </si>
  <si>
    <t>1010000265</t>
  </si>
  <si>
    <t>LAMB WESTON HOLDINGS INC</t>
  </si>
  <si>
    <t>LEGGETT AND PLATT INCORPORATED LEGGETT A</t>
  </si>
  <si>
    <t>QUR0DG15Z6FFGYCHH861</t>
  </si>
  <si>
    <t>1010000272</t>
  </si>
  <si>
    <t>LINCOLN NATIONAL CORPORATION LINCOLN NAT</t>
  </si>
  <si>
    <t>536797-AG-8</t>
  </si>
  <si>
    <t>1010000276</t>
  </si>
  <si>
    <t>56540#-AA-3</t>
  </si>
  <si>
    <t>1010000283</t>
  </si>
  <si>
    <t>57629W-CE-8</t>
  </si>
  <si>
    <t>MCCORMICK &amp; COMPANY INCORPORAT</t>
  </si>
  <si>
    <t>1010000290</t>
  </si>
  <si>
    <t>959800RXUB765QMP6986</t>
  </si>
  <si>
    <t>1010000309</t>
  </si>
  <si>
    <t>61747Y-EU-5</t>
  </si>
  <si>
    <t>MUELLER WATER PRODUCTS INC</t>
  </si>
  <si>
    <t>1010000316</t>
  </si>
  <si>
    <t>63615#-AG-6</t>
  </si>
  <si>
    <t>646025-B#-2</t>
  </si>
  <si>
    <t>1010000327</t>
  </si>
  <si>
    <t>NEW YORK  PRESBYTERIAN HOSP</t>
  </si>
  <si>
    <t>549300H5GUKWH3CAB355</t>
  </si>
  <si>
    <t>1010000334</t>
  </si>
  <si>
    <t>1010000338</t>
  </si>
  <si>
    <t>NSTAR GAS CO</t>
  </si>
  <si>
    <t>68217F-AA-0</t>
  </si>
  <si>
    <t>1010000345</t>
  </si>
  <si>
    <t>693475-AZ-8</t>
  </si>
  <si>
    <t>1010000349</t>
  </si>
  <si>
    <t>123WALMHY1GZXG2YDL90</t>
  </si>
  <si>
    <t>1010000352</t>
  </si>
  <si>
    <t>PARKER HANNIFIN CORP</t>
  </si>
  <si>
    <t>5493002CONDB4N2HKI23</t>
  </si>
  <si>
    <t>1010000356</t>
  </si>
  <si>
    <t>549300ZSLGV64ZL3HD75</t>
  </si>
  <si>
    <t>PORTLAND GENERAL ELECTRIC COMP</t>
  </si>
  <si>
    <t>1010000363</t>
  </si>
  <si>
    <t>PRINCIPAL LIFE GLOBAL FUNDING</t>
  </si>
  <si>
    <t>1010000367</t>
  </si>
  <si>
    <t>1010000370</t>
  </si>
  <si>
    <t>1010000374</t>
  </si>
  <si>
    <t>1010000381</t>
  </si>
  <si>
    <t>78355H-KN-8</t>
  </si>
  <si>
    <t>1010000392</t>
  </si>
  <si>
    <t>855244-AV-1</t>
  </si>
  <si>
    <t>1010000407</t>
  </si>
  <si>
    <t>549300MJCC12LU768G81</t>
  </si>
  <si>
    <t>87264A-CA-1</t>
  </si>
  <si>
    <t>875127-BH-4</t>
  </si>
  <si>
    <t>TAMPA ELECTRIC CO</t>
  </si>
  <si>
    <t>WS423EPRKJIIJUITXD73</t>
  </si>
  <si>
    <t>883556-CK-6</t>
  </si>
  <si>
    <t>1010000418</t>
  </si>
  <si>
    <t>1010000425</t>
  </si>
  <si>
    <t>1010000429</t>
  </si>
  <si>
    <t>1010000436</t>
  </si>
  <si>
    <t>N1GZ7BBF3NP8GI976H15</t>
  </si>
  <si>
    <t>91913Y-BB-5</t>
  </si>
  <si>
    <t>1010000443</t>
  </si>
  <si>
    <t>1010000447</t>
  </si>
  <si>
    <t>1010000450</t>
  </si>
  <si>
    <t>1010000454</t>
  </si>
  <si>
    <t>1010000458</t>
  </si>
  <si>
    <t>960413-AT-9</t>
  </si>
  <si>
    <t>1010000461</t>
  </si>
  <si>
    <t>1010000465</t>
  </si>
  <si>
    <t>1010000472</t>
  </si>
  <si>
    <t>1010000483</t>
  </si>
  <si>
    <t>1010000490</t>
  </si>
  <si>
    <t>034863-AZ-3</t>
  </si>
  <si>
    <t>BPCE SA</t>
  </si>
  <si>
    <t>BANCO SANTANDER SA</t>
  </si>
  <si>
    <t>1010000509</t>
  </si>
  <si>
    <t>09659W-2L-7</t>
  </si>
  <si>
    <t>21688A-AE-2</t>
  </si>
  <si>
    <t>1010000516</t>
  </si>
  <si>
    <t>43761A-D#-0</t>
  </si>
  <si>
    <t>1010000527</t>
  </si>
  <si>
    <t>45326Y-A*-8</t>
  </si>
  <si>
    <t>TG9YHPB3WOAJQYJF5Y59</t>
  </si>
  <si>
    <t>1010000534</t>
  </si>
  <si>
    <t>1010000538</t>
  </si>
  <si>
    <t>NXP BV AND NXP FUNDING LLC NXP BV/NXP FU</t>
  </si>
  <si>
    <t>1010000541</t>
  </si>
  <si>
    <t>62954H-AX-6</t>
  </si>
  <si>
    <t>NATIONAL AUSTRALIA BANK LIMITE NATIONAL</t>
  </si>
  <si>
    <t>1010000545</t>
  </si>
  <si>
    <t>COOPERATIEVE RABOBANK UA</t>
  </si>
  <si>
    <t>1010000549</t>
  </si>
  <si>
    <t>780097-BP-5</t>
  </si>
  <si>
    <t>1010000552</t>
  </si>
  <si>
    <t>78081B-AJ-2</t>
  </si>
  <si>
    <t>1010000556</t>
  </si>
  <si>
    <t>SENSATA TECHNOLOGIES BV</t>
  </si>
  <si>
    <t>SIEMENS FINANCIERINGSMAATSCHAP</t>
  </si>
  <si>
    <t>1010000563</t>
  </si>
  <si>
    <t>1010000570</t>
  </si>
  <si>
    <t>1010000574</t>
  </si>
  <si>
    <t>YARA INTERNATIONAL ASA Series 144A</t>
  </si>
  <si>
    <t>YARA INTERNATIONAL ASA</t>
  </si>
  <si>
    <t>1010000581</t>
  </si>
  <si>
    <t>G3198@-AF-4</t>
  </si>
  <si>
    <t>CSL FINANCE PTY LTD</t>
  </si>
  <si>
    <t>Q3647#-AA-9</t>
  </si>
  <si>
    <t>1010000592</t>
  </si>
  <si>
    <t>3Y86J1BUCM8FKPSLRE79</t>
  </si>
  <si>
    <t>1020000000</t>
  </si>
  <si>
    <t>1039999999</t>
  </si>
  <si>
    <t>Subtotal - Bonds - Industrial and Miscellaneous (Unaffiliated) - Commercial Mortgage-Backed Securities</t>
  </si>
  <si>
    <t>AMERICAN AIRLINES 2016-3 CLASS AMERICAN</t>
  </si>
  <si>
    <t>05377R-ES-9</t>
  </si>
  <si>
    <t>05377R-ET-7</t>
  </si>
  <si>
    <t>BXG RECEIVABLES NOTE TRUST BXG Series 14</t>
  </si>
  <si>
    <t>05608T-AB-7</t>
  </si>
  <si>
    <t>CLI FUNDING LLC CLIF_20-1A Series 144A</t>
  </si>
  <si>
    <t>12563L-AS-6</t>
  </si>
  <si>
    <t>CRVNA_21-P1</t>
  </si>
  <si>
    <t>FMAN</t>
  </si>
  <si>
    <t>29373K-AC-7</t>
  </si>
  <si>
    <t>34528H-AB-0</t>
  </si>
  <si>
    <t>FORDO_21-A</t>
  </si>
  <si>
    <t>1040000078</t>
  </si>
  <si>
    <t>GM FINANCIAL AUTOMOBILE LEASIN GM FINANC</t>
  </si>
  <si>
    <t>1040000089</t>
  </si>
  <si>
    <t>1040000096</t>
  </si>
  <si>
    <t>543190-AA-0</t>
  </si>
  <si>
    <t>55316E-AE-2</t>
  </si>
  <si>
    <t>82652Q-AB-7</t>
  </si>
  <si>
    <t>82652Q-AC-5</t>
  </si>
  <si>
    <t>82653G-AA-0</t>
  </si>
  <si>
    <t>TIF FUNDING II LLC TIF_21-1A</t>
  </si>
  <si>
    <t>TACO BELL FUNDING BELL_21-1</t>
  </si>
  <si>
    <t>89680H-AA-0</t>
  </si>
  <si>
    <t>1040000169</t>
  </si>
  <si>
    <t>VSE VOI MORTGAGE LLC VSTNA_18-</t>
  </si>
  <si>
    <t>WENDYS FUNDING LLC WEN_19-1A Series 144A</t>
  </si>
  <si>
    <t>WENDYS FUNDING LLC WEN_21-1A</t>
  </si>
  <si>
    <t>WHEELS FLEET LEASE FUNDING LLC Series 14</t>
  </si>
  <si>
    <t>1040000187</t>
  </si>
  <si>
    <t>09228Y-AA-0</t>
  </si>
  <si>
    <t>12807C-AA-1</t>
  </si>
  <si>
    <t>1040000194</t>
  </si>
  <si>
    <t>1040000198</t>
  </si>
  <si>
    <t>26254C-AA-9</t>
  </si>
  <si>
    <t>26254C-AC-5</t>
  </si>
  <si>
    <t>GLOBAL SC FINANCE SRL SEACO_20</t>
  </si>
  <si>
    <t>Signal Peak CLO, LLC Series 144A</t>
  </si>
  <si>
    <t>VENTR_19-37A</t>
  </si>
  <si>
    <t>Total - Issuer Obligations</t>
  </si>
  <si>
    <t>2449999999</t>
  </si>
  <si>
    <t>Total - Affiliated Bank Loans</t>
  </si>
  <si>
    <t xml:space="preserve">NAIC Designation Modifier E Amount </t>
  </si>
  <si>
    <t>000001B</t>
  </si>
  <si>
    <t>Subtotal - Preferred Stock - Industrial and Miscellaneous (Unaffiliated) Perpetual Preferred</t>
  </si>
  <si>
    <t>4029999999</t>
  </si>
  <si>
    <t>5520000000</t>
  </si>
  <si>
    <t>Tax Free Exchange</t>
  </si>
  <si>
    <t>BARCLAYS CAPITAL INC</t>
  </si>
  <si>
    <t>1100000017</t>
  </si>
  <si>
    <t>1100000028</t>
  </si>
  <si>
    <t>1100000035</t>
  </si>
  <si>
    <t>1100000039</t>
  </si>
  <si>
    <t>1100000042</t>
  </si>
  <si>
    <t>1100000046</t>
  </si>
  <si>
    <t>WELLS FARGO BANK</t>
  </si>
  <si>
    <t>1100000053</t>
  </si>
  <si>
    <t>1100000057</t>
  </si>
  <si>
    <t>1100000060</t>
  </si>
  <si>
    <t>1100000064</t>
  </si>
  <si>
    <t>ROYAL BANK OF CANADA</t>
  </si>
  <si>
    <t>1100000068</t>
  </si>
  <si>
    <t>1100000071</t>
  </si>
  <si>
    <t>1100000075</t>
  </si>
  <si>
    <t>1100000082</t>
  </si>
  <si>
    <t>1100000093</t>
  </si>
  <si>
    <t>1100000108</t>
  </si>
  <si>
    <t>MORGAN STANLEY    2.475% 01/21/28</t>
  </si>
  <si>
    <t>1100000119</t>
  </si>
  <si>
    <t>1100000126</t>
  </si>
  <si>
    <t>1100000137</t>
  </si>
  <si>
    <t>1100000144</t>
  </si>
  <si>
    <t>1100000148</t>
  </si>
  <si>
    <t>1100000151</t>
  </si>
  <si>
    <t>1100000155</t>
  </si>
  <si>
    <t>MITSUBISHI SECURITIES</t>
  </si>
  <si>
    <t>1100000159</t>
  </si>
  <si>
    <t>1100000162</t>
  </si>
  <si>
    <t>1100000166</t>
  </si>
  <si>
    <t>1100000173</t>
  </si>
  <si>
    <t>Total - Preferred Stocks - Part 5</t>
  </si>
  <si>
    <t>0100000002</t>
  </si>
  <si>
    <t>0500000001</t>
  </si>
  <si>
    <t>JERSEY CITY N J    3.286% 09/01/22</t>
  </si>
  <si>
    <t>INDIANA ST FINANCE AUTHORITY INDIANA ST</t>
  </si>
  <si>
    <t>0900000004</t>
  </si>
  <si>
    <t>73474T-AN-0</t>
  </si>
  <si>
    <t>AETNA INC</t>
  </si>
  <si>
    <t>ARCHER-DANIELS-MIDLAND COMPANY</t>
  </si>
  <si>
    <t>AUTONATION INC    3.500% 11/15/24</t>
  </si>
  <si>
    <t>096630-AC-2</t>
  </si>
  <si>
    <t>CAMPBELL SOUP COMPANY    3.950% 03/15/25</t>
  </si>
  <si>
    <t>256677-AC-9</t>
  </si>
  <si>
    <t>26441C-AN-5</t>
  </si>
  <si>
    <t>E TRADE FINANCIAL CORP</t>
  </si>
  <si>
    <t>340711-AV-2</t>
  </si>
  <si>
    <t>GENERAL MILLS INC    4.000% 04/17/25</t>
  </si>
  <si>
    <t>466313-AG-8</t>
  </si>
  <si>
    <t>49271V-AH-3</t>
  </si>
  <si>
    <t>Call      101.0342</t>
  </si>
  <si>
    <t>55336V-AQ-3</t>
  </si>
  <si>
    <t>MEDTRONIC INC</t>
  </si>
  <si>
    <t>637432-NL-5</t>
  </si>
  <si>
    <t>1100000180</t>
  </si>
  <si>
    <t>73020*-AJ-2</t>
  </si>
  <si>
    <t>1100000184</t>
  </si>
  <si>
    <t>QUALCOMM INC QUALCOMM INCORPORATED</t>
  </si>
  <si>
    <t>RPM INTERNATIONAL INC RPM INTERNATIONAL</t>
  </si>
  <si>
    <t>1100000191</t>
  </si>
  <si>
    <t>TEXAS INSTRUMENTS INC    2.625% 05/15/24</t>
  </si>
  <si>
    <t>1100000217</t>
  </si>
  <si>
    <t>1100000228</t>
  </si>
  <si>
    <t>1100000235</t>
  </si>
  <si>
    <t>1100000239</t>
  </si>
  <si>
    <t>960413-AF-9</t>
  </si>
  <si>
    <t>1100000242</t>
  </si>
  <si>
    <t>WOLSELEY CAPITAL INC    3.430% 09/01/22</t>
  </si>
  <si>
    <t>1100000246</t>
  </si>
  <si>
    <t>00973R-AE-3</t>
  </si>
  <si>
    <t>CREDIT AGRICOLE SA/LONDON</t>
  </si>
  <si>
    <t>1100000253</t>
  </si>
  <si>
    <t>1100000257</t>
  </si>
  <si>
    <t>1100000260</t>
  </si>
  <si>
    <t>549300JSNI1KL271GM17</t>
  </si>
  <si>
    <t>1100000264</t>
  </si>
  <si>
    <t>1100000271</t>
  </si>
  <si>
    <t>1100000275</t>
  </si>
  <si>
    <t>1100000282</t>
  </si>
  <si>
    <t xml:space="preserve">Par Value (Bonds) or Number of Shares (Stock) </t>
  </si>
  <si>
    <t xml:space="preserve">Description, Name of Subsidiary, Controlled or Affiliated Company </t>
  </si>
  <si>
    <t>Subtotal - Common Stock - Non - Insurer</t>
  </si>
  <si>
    <t>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</si>
</sst>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_);[Red]\(#,##0.0000\)"/>
    <numFmt numFmtId="165" formatCode="#,##0.000_);[Red]\(#,##0.000\)"/>
    <numFmt numFmtId="167" formatCode="mm/dd/yyyy"/>
    <numFmt numFmtId="168" formatCode="#####"/>
    <numFmt numFmtId="169" formatCode="\A\A\-\A\A#######"/>
    <numFmt numFmtId="170" formatCode="#,##0.0_);[Red]\(#,##0.0\)"/>
    <numFmt numFmtId="171" formatCode="##########"/>
  </numFmts>
  <fonts count="8" x14ac:knownFonts="1">
    <font>
      <sz val="11"/>
      <color theme="1"/>
      <name val="Arial"/>
    </font>
    <font>
      <sz val="9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8"/>
      <color theme="1"/>
      <name val="Arial"/>
    </font>
    <font>
      <b/>
      <sz val="10"/>
      <color theme="1"/>
      <name val="Arial"/>
    </font>
    <font>
      <b/>
      <sz val="16"/>
      <color theme="1"/>
      <name val="Arial"/>
    </font>
    <font>
      <sz val="11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85">
    <xf numFmtId="0" fontId="0" fillId="0" borderId="0" xfId="0"/>
    <xf numFmtId="0" fontId="0" fillId="2" borderId="1" xfId="0" applyFill="1" applyBorder="1" applyAlignment="1">
      <alignment horizontal="fill"/>
    </xf>
    <xf numFmtId="0" fontId="7" fillId="3" borderId="1" xfId="1" applyNumberFormat="1" applyFill="1" applyBorder="1"/>
    <xf numFmtId="37" fontId="7" fillId="4" borderId="1" xfId="24" applyNumberFormat="1" applyFill="1" applyBorder="1" applyProtection="1"/>
    <xf numFmtId="37" fontId="7" fillId="0" borderId="1" xfId="24" applyNumberFormat="1" applyFill="1" applyBorder="1"/>
    <xf numFmtId="0" fontId="7" fillId="0" borderId="1" xfId="17" quotePrefix="1" applyNumberFormat="1" applyFill="1" applyBorder="1"/>
    <xf numFmtId="0" fontId="7" fillId="0" borderId="1" xfId="2" applyNumberFormat="1" applyFill="1" applyBorder="1"/>
    <xf numFmtId="0" fontId="0" fillId="2" borderId="2" xfId="0" applyFill="1" applyBorder="1" applyAlignment="1">
      <alignment horizontal="fill"/>
    </xf>
    <xf numFmtId="0" fontId="0" fillId="2" borderId="3" xfId="0" applyFill="1" applyBorder="1" applyAlignment="1">
      <alignment horizontal="fill"/>
    </xf>
    <xf numFmtId="167" fontId="7" fillId="0" borderId="1" xfId="2" applyNumberFormat="1" applyFill="1" applyBorder="1"/>
    <xf numFmtId="0" fontId="7" fillId="0" borderId="1" xfId="2" applyNumberFormat="1" applyFill="1" applyBorder="1" applyAlignment="1">
      <alignment horizontal="center"/>
    </xf>
    <xf numFmtId="0" fontId="0" fillId="0" borderId="0" xfId="0" applyAlignment="1">
      <alignment horizontal="centerContinuous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167" fontId="7" fillId="0" borderId="1" xfId="2" applyNumberFormat="1" applyFill="1" applyBorder="1" applyAlignment="1">
      <alignment horizontal="center"/>
    </xf>
    <xf numFmtId="0" fontId="7" fillId="0" borderId="3" xfId="17" quotePrefix="1" applyNumberFormat="1" applyFill="1" applyBorder="1"/>
    <xf numFmtId="0" fontId="7" fillId="3" borderId="3" xfId="1" applyNumberFormat="1" applyFill="1" applyBorder="1"/>
    <xf numFmtId="0" fontId="0" fillId="5" borderId="1" xfId="17" quotePrefix="1" applyNumberFormat="1" applyFont="1" applyFill="1" applyBorder="1" applyAlignment="1">
      <alignment horizontal="left" wrapText="1"/>
    </xf>
    <xf numFmtId="49" fontId="0" fillId="6" borderId="2" xfId="17" quotePrefix="1" applyNumberFormat="1" applyFont="1" applyFill="1" applyBorder="1" applyAlignment="1">
      <alignment horizontal="right" vertical="top"/>
    </xf>
    <xf numFmtId="49" fontId="0" fillId="5" borderId="2" xfId="17" quotePrefix="1" applyNumberFormat="1" applyFont="1" applyFill="1" applyBorder="1" applyAlignment="1">
      <alignment horizontal="right" vertical="top"/>
    </xf>
    <xf numFmtId="0" fontId="7" fillId="0" borderId="1" xfId="5" quotePrefix="1" applyNumberFormat="1" applyFill="1" applyBorder="1"/>
    <xf numFmtId="0" fontId="7" fillId="0" borderId="1" xfId="21" quotePrefix="1" applyNumberFormat="1" applyFill="1" applyBorder="1"/>
    <xf numFmtId="0" fontId="0" fillId="2" borderId="1" xfId="0" applyFill="1" applyBorder="1" applyAlignment="1">
      <alignment horizontal="center"/>
    </xf>
    <xf numFmtId="165" fontId="7" fillId="0" borderId="1" xfId="27" applyNumberFormat="1" applyFill="1" applyBorder="1"/>
    <xf numFmtId="37" fontId="7" fillId="4" borderId="1" xfId="24" applyNumberFormat="1" applyFill="1" applyBorder="1"/>
    <xf numFmtId="0" fontId="0" fillId="0" borderId="1" xfId="18" applyNumberFormat="1" applyFont="1" applyFill="1" applyBorder="1" applyAlignment="1">
      <alignment horizontal="left" wrapText="1"/>
    </xf>
    <xf numFmtId="0" fontId="7" fillId="0" borderId="1" xfId="16" quotePrefix="1" applyNumberFormat="1" applyFill="1" applyBorder="1"/>
    <xf numFmtId="0" fontId="7" fillId="3" borderId="6" xfId="1" applyNumberFormat="1" applyFill="1" applyBorder="1"/>
    <xf numFmtId="165" fontId="7" fillId="0" borderId="1" xfId="29" applyNumberFormat="1" applyFill="1" applyBorder="1"/>
    <xf numFmtId="0" fontId="7" fillId="3" borderId="1" xfId="1" applyNumberFormat="1" applyFill="1" applyBorder="1" applyAlignment="1">
      <alignment horizontal="center"/>
    </xf>
    <xf numFmtId="37" fontId="7" fillId="4" borderId="6" xfId="24" applyNumberFormat="1" applyFill="1" applyBorder="1" applyProtection="1"/>
    <xf numFmtId="0" fontId="7" fillId="0" borderId="1" xfId="3" quotePrefix="1" applyNumberFormat="1" applyFill="1" applyBorder="1"/>
    <xf numFmtId="0" fontId="7" fillId="0" borderId="1" xfId="9" quotePrefix="1" applyNumberFormat="1" applyFill="1" applyBorder="1"/>
    <xf numFmtId="0" fontId="7" fillId="0" borderId="1" xfId="10" quotePrefix="1" applyNumberFormat="1" applyFill="1" applyBorder="1"/>
    <xf numFmtId="0" fontId="7" fillId="4" borderId="1" xfId="17" quotePrefix="1" applyNumberFormat="1" applyFill="1" applyBorder="1"/>
    <xf numFmtId="0" fontId="2" fillId="0" borderId="0" xfId="0" applyFont="1" applyAlignment="1">
      <alignment horizontal="center"/>
    </xf>
    <xf numFmtId="37" fontId="7" fillId="7" borderId="1" xfId="24" applyNumberFormat="1" applyFill="1" applyBorder="1"/>
    <xf numFmtId="0" fontId="7" fillId="0" borderId="1" xfId="15" quotePrefix="1" applyNumberFormat="1" applyFill="1" applyBorder="1"/>
    <xf numFmtId="0" fontId="7" fillId="0" borderId="1" xfId="11" quotePrefix="1" applyNumberFormat="1" applyFill="1" applyBorder="1"/>
    <xf numFmtId="0" fontId="7" fillId="0" borderId="1" xfId="6" quotePrefix="1" applyNumberFormat="1" applyFill="1" applyBorder="1"/>
    <xf numFmtId="0" fontId="7" fillId="0" borderId="1" xfId="22" quotePrefix="1" applyNumberFormat="1" applyFill="1" applyBorder="1"/>
    <xf numFmtId="164" fontId="7" fillId="0" borderId="1" xfId="28" applyNumberFormat="1" applyFill="1" applyBorder="1"/>
    <xf numFmtId="49" fontId="3" fillId="0" borderId="0" xfId="0" applyNumberFormat="1" applyFont="1" applyAlignment="1">
      <alignment horizontal="center" vertical="center" wrapText="1"/>
    </xf>
    <xf numFmtId="0" fontId="7" fillId="0" borderId="1" xfId="14" quotePrefix="1" applyNumberFormat="1" applyFill="1" applyBorder="1"/>
    <xf numFmtId="0" fontId="3" fillId="0" borderId="0" xfId="0" applyNumberFormat="1" applyFont="1" applyAlignment="1">
      <alignment horizontal="center" vertical="center" wrapText="1"/>
    </xf>
    <xf numFmtId="0" fontId="7" fillId="0" borderId="1" xfId="4" quotePrefix="1" applyNumberFormat="1" applyFill="1" applyBorder="1"/>
    <xf numFmtId="37" fontId="7" fillId="8" borderId="1" xfId="24" applyNumberFormat="1" applyFill="1" applyBorder="1" applyProtection="1"/>
    <xf numFmtId="0" fontId="0" fillId="0" borderId="1" xfId="18" quotePrefix="1" applyNumberFormat="1" applyFont="1" applyFill="1" applyBorder="1" applyAlignment="1">
      <alignment horizontal="left" wrapText="1"/>
    </xf>
    <xf numFmtId="170" fontId="7" fillId="0" borderId="1" xfId="25" applyNumberFormat="1" applyFill="1" applyBorder="1"/>
    <xf numFmtId="168" fontId="7" fillId="0" borderId="1" xfId="19" quotePrefix="1" applyNumberFormat="1" applyFill="1" applyBorder="1"/>
    <xf numFmtId="0" fontId="7" fillId="0" borderId="1" xfId="7" quotePrefix="1" applyNumberFormat="1" applyFill="1" applyBorder="1"/>
    <xf numFmtId="169" fontId="7" fillId="0" borderId="1" xfId="23" quotePrefix="1" applyNumberFormat="1" applyFill="1" applyBorder="1"/>
    <xf numFmtId="171" fontId="7" fillId="0" borderId="1" xfId="20" quotePrefix="1" applyNumberFormat="1" applyFill="1" applyBorder="1"/>
    <xf numFmtId="0" fontId="7" fillId="0" borderId="1" xfId="8" quotePrefix="1" applyNumberFormat="1" applyFill="1" applyBorder="1"/>
    <xf numFmtId="49" fontId="7" fillId="0" borderId="1" xfId="16" quotePrefix="1" applyNumberFormat="1" applyFill="1" applyBorder="1"/>
    <xf numFmtId="49" fontId="7" fillId="0" borderId="1" xfId="5" quotePrefix="1" applyNumberFormat="1" applyFill="1" applyBorder="1"/>
    <xf numFmtId="0" fontId="0" fillId="9" borderId="6" xfId="17" quotePrefix="1" applyNumberFormat="1" applyFont="1" applyFill="1" applyBorder="1" applyAlignment="1">
      <alignment horizontal="left" wrapText="1"/>
    </xf>
    <xf numFmtId="49" fontId="4" fillId="0" borderId="0" xfId="0" applyNumberFormat="1" applyFont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40" fontId="7" fillId="0" borderId="1" xfId="26" applyNumberFormat="1" applyFill="1" applyBorder="1"/>
    <xf numFmtId="49" fontId="0" fillId="9" borderId="7" xfId="17" quotePrefix="1" applyNumberFormat="1" applyFont="1" applyFill="1" applyBorder="1" applyAlignment="1">
      <alignment horizontal="right" vertical="top"/>
    </xf>
    <xf numFmtId="0" fontId="5" fillId="0" borderId="0" xfId="0" applyFont="1" applyAlignment="1">
      <alignment horizontal="centerContinuous" wrapText="1"/>
    </xf>
    <xf numFmtId="0" fontId="6" fillId="0" borderId="0" xfId="0" applyFont="1" applyAlignment="1">
      <alignment horizontal="centerContinuous" wrapText="1"/>
    </xf>
    <xf numFmtId="37" fontId="7" fillId="7" borderId="6" xfId="24" applyNumberFormat="1" applyFill="1" applyBorder="1"/>
    <xf numFmtId="0" fontId="7" fillId="3" borderId="5" xfId="1" applyNumberFormat="1" applyFill="1" applyBorder="1"/>
    <xf numFmtId="0" fontId="7" fillId="0" borderId="1" xfId="12" quotePrefix="1" applyNumberFormat="1" applyFill="1" applyBorder="1"/>
    <xf numFmtId="49" fontId="7" fillId="0" borderId="1" xfId="10" quotePrefix="1" applyNumberFormat="1" applyFill="1" applyBorder="1"/>
    <xf numFmtId="49" fontId="7" fillId="0" borderId="1" xfId="15" quotePrefix="1" applyNumberFormat="1" applyFill="1" applyBorder="1"/>
    <xf numFmtId="49" fontId="7" fillId="0" borderId="1" xfId="3" quotePrefix="1" applyNumberFormat="1" applyFill="1" applyBorder="1"/>
    <xf numFmtId="49" fontId="7" fillId="0" borderId="1" xfId="4" quotePrefix="1" applyNumberFormat="1" applyFill="1" applyBorder="1"/>
    <xf numFmtId="49" fontId="7" fillId="0" borderId="1" xfId="9" quotePrefix="1" applyNumberFormat="1" applyFill="1" applyBorder="1"/>
    <xf numFmtId="49" fontId="7" fillId="0" borderId="1" xfId="6" quotePrefix="1" applyNumberFormat="1" applyFill="1" applyBorder="1"/>
    <xf numFmtId="49" fontId="7" fillId="0" borderId="1" xfId="11" quotePrefix="1" applyNumberFormat="1" applyFill="1" applyBorder="1"/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 wrapText="1"/>
    </xf>
    <xf numFmtId="49" fontId="0" fillId="9" borderId="2" xfId="17" quotePrefix="1" applyNumberFormat="1" applyFont="1" applyFill="1" applyBorder="1" applyAlignment="1">
      <alignment horizontal="right" vertical="top"/>
    </xf>
    <xf numFmtId="0" fontId="7" fillId="0" borderId="1" xfId="13" quotePrefix="1" applyNumberFormat="1" applyFill="1" applyBorder="1"/>
    <xf numFmtId="0" fontId="0" fillId="9" borderId="1" xfId="17" quotePrefix="1" applyNumberFormat="1" applyFont="1" applyFill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37" fontId="7" fillId="4" borderId="3" xfId="24" applyNumberFormat="1" applyFill="1" applyBorder="1"/>
    <xf numFmtId="0" fontId="0" fillId="0" borderId="0" xfId="0" applyAlignment="1">
      <alignment horizontal="center"/>
    </xf>
    <xf numFmtId="37" fontId="7" fillId="4" borderId="5" xfId="24" applyNumberFormat="1" applyFill="1" applyBorder="1"/>
    <xf numFmtId="37" fontId="7" fillId="0" borderId="5" xfId="24" applyNumberFormat="1" applyFill="1" applyBorder="1"/>
    <xf numFmtId="49" fontId="7" fillId="0" borderId="1" xfId="14" quotePrefix="1" applyNumberFormat="1" applyFill="1" applyBorder="1"/>
  </cellXfs>
  <cellStyles count="30">
    <cellStyle name="0" xfId="1" xr:uid="{00000000-0005-0000-0000-000000000000}"/>
    <cellStyle name="12884901888" xfId="2" xr:uid="{00000000-0005-0000-0000-000001000000}"/>
    <cellStyle name="17190813696" xfId="3" xr:uid="{00000000-0005-0000-0000-000002000000}"/>
    <cellStyle name="17191534592" xfId="4" xr:uid="{00000000-0005-0000-0000-000003000000}"/>
    <cellStyle name="17194549248" xfId="5" xr:uid="{00000000-0005-0000-0000-000004000000}"/>
    <cellStyle name="17195728896" xfId="6" xr:uid="{00000000-0005-0000-0000-000005000000}"/>
    <cellStyle name="17196253184" xfId="7" xr:uid="{00000000-0005-0000-0000-000006000000}"/>
    <cellStyle name="17197498368" xfId="8" xr:uid="{00000000-0005-0000-0000-000007000000}"/>
    <cellStyle name="17198088192" xfId="9" xr:uid="{00000000-0005-0000-0000-000008000000}"/>
    <cellStyle name="17198153728" xfId="10" xr:uid="{00000000-0005-0000-0000-000009000000}"/>
    <cellStyle name="17198284800" xfId="11" xr:uid="{00000000-0005-0000-0000-00000A000000}"/>
    <cellStyle name="17198350336" xfId="12" xr:uid="{00000000-0005-0000-0000-00000B000000}"/>
    <cellStyle name="17198415872" xfId="13" xr:uid="{00000000-0005-0000-0000-00000C000000}"/>
    <cellStyle name="17198546944" xfId="14" xr:uid="{00000000-0005-0000-0000-00000D000000}"/>
    <cellStyle name="17200054272" xfId="15" xr:uid="{00000000-0005-0000-0000-00000E000000}"/>
    <cellStyle name="17200316416" xfId="16" xr:uid="{00000000-0005-0000-0000-00000F000000}"/>
    <cellStyle name="4295032832" xfId="17" xr:uid="{00000000-0005-0000-0000-000010000000}"/>
    <cellStyle name="4295098368" xfId="18" xr:uid="{00000000-0005-0000-0000-000011000000}"/>
    <cellStyle name="4295753728" xfId="19" xr:uid="{00000000-0005-0000-0000-000012000000}"/>
    <cellStyle name="4296212480" xfId="20" xr:uid="{00000000-0005-0000-0000-000013000000}"/>
    <cellStyle name="4296409088" xfId="21" xr:uid="{00000000-0005-0000-0000-000014000000}"/>
    <cellStyle name="4296474624" xfId="22" xr:uid="{00000000-0005-0000-0000-000015000000}"/>
    <cellStyle name="4296540160" xfId="23" xr:uid="{00000000-0005-0000-0000-000016000000}"/>
    <cellStyle name="8590000128" xfId="24" xr:uid="{00000000-0005-0000-0000-000017000000}"/>
    <cellStyle name="8590131200" xfId="25" xr:uid="{00000000-0005-0000-0000-000018000000}"/>
    <cellStyle name="8590262272" xfId="26" xr:uid="{00000000-0005-0000-0000-000019000000}"/>
    <cellStyle name="8590327808" xfId="27" xr:uid="{00000000-0005-0000-0000-00001A000000}"/>
    <cellStyle name="8590393344" xfId="28" xr:uid="{00000000-0005-0000-0000-00001B000000}"/>
    <cellStyle name="8590524416" xfId="29" xr:uid="{00000000-0005-0000-0000-00001C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1098"/>
  <sheetViews>
    <sheetView tabSelected="1"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5" width="59.75" customWidth="1"/>
    <col min="6" max="6" width="63.75" customWidth="1"/>
    <col min="7" max="10" width="10.75" customWidth="1"/>
    <col min="11" max="11" width="14.75" customWidth="1"/>
    <col min="12" max="12" width="12.75" customWidth="1"/>
    <col min="13" max="19" width="14.75" customWidth="1"/>
    <col min="20" max="21" width="12.75" customWidth="1"/>
    <col min="22" max="22" width="10.75" customWidth="1"/>
    <col min="23" max="24" width="14.75" customWidth="1"/>
    <col min="25" max="26" width="10.75" customWidth="1"/>
    <col min="27" max="27" width="20.75" customWidth="1"/>
    <col min="28" max="28" width="48.75" customWidth="1"/>
    <col min="29" max="29" width="15.75" customWidth="1"/>
    <col min="30" max="30" width="88.75" customWidth="1"/>
    <col min="31" max="31" width="10.75" customWidth="1"/>
    <col min="32" max="32" width="12.75" customWidth="1"/>
    <col min="33" max="33" width="10.75" customWidth="1"/>
    <col min="34" max="34" width="20.75" customWidth="1"/>
    <col min="35" max="36" width="25.75" customWidth="1"/>
    <col min="37" max="37" width="10.75" customWidth="1"/>
    <col min="38" max="39" width="25.75" customWidth="1"/>
    <col min="40" max="40" width="10.75" customWidth="1"/>
  </cols>
  <sheetData>
    <row r="1" spans="2:40" x14ac:dyDescent="0.3">
      <c r="C1" s="35" t="s">
        <v>1614</v>
      </c>
      <c r="D1" s="35" t="s">
        <v>1158</v>
      </c>
      <c r="E1" s="35" t="s">
        <v>1615</v>
      </c>
      <c r="F1" s="35" t="s">
        <v>264</v>
      </c>
    </row>
    <row r="2" spans="2:40" x14ac:dyDescent="0.3">
      <c r="B2" s="57"/>
      <c r="C2" s="42" t="s">
        <v>499</v>
      </c>
      <c r="D2" s="42" t="s">
        <v>500</v>
      </c>
      <c r="E2" s="42" t="s">
        <v>1616</v>
      </c>
      <c r="F2" s="42" t="s">
        <v>1617</v>
      </c>
      <c r="Y2" s="81"/>
      <c r="Z2" s="81"/>
    </row>
    <row r="3" spans="2:40" ht="40" customHeight="1" x14ac:dyDescent="0.3">
      <c r="B3" s="62" t="s">
        <v>265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75"/>
      <c r="Z3" s="75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2:40" ht="40" customHeight="1" x14ac:dyDescent="0.4">
      <c r="B4" s="63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75"/>
      <c r="Z4" s="75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2:40" x14ac:dyDescent="0.3">
      <c r="B5" s="59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6.01</v>
      </c>
      <c r="I5" s="12">
        <v>6.02</v>
      </c>
      <c r="J5" s="12">
        <v>6.03</v>
      </c>
      <c r="K5" s="12">
        <v>7</v>
      </c>
      <c r="L5" s="12">
        <v>8</v>
      </c>
      <c r="M5" s="12">
        <v>9</v>
      </c>
      <c r="N5" s="12">
        <v>10</v>
      </c>
      <c r="O5" s="12">
        <v>11</v>
      </c>
      <c r="P5" s="12">
        <v>12</v>
      </c>
      <c r="Q5" s="12">
        <v>13</v>
      </c>
      <c r="R5" s="12">
        <v>14</v>
      </c>
      <c r="S5" s="12">
        <v>15</v>
      </c>
      <c r="T5" s="12">
        <v>16</v>
      </c>
      <c r="U5" s="12">
        <v>17</v>
      </c>
      <c r="V5" s="12">
        <v>18</v>
      </c>
      <c r="W5" s="12">
        <v>19</v>
      </c>
      <c r="X5" s="12">
        <v>20</v>
      </c>
      <c r="Y5" s="12">
        <v>21</v>
      </c>
      <c r="Z5" s="12">
        <v>22</v>
      </c>
      <c r="AA5" s="12">
        <v>23</v>
      </c>
      <c r="AB5" s="12">
        <v>24</v>
      </c>
      <c r="AC5" s="12">
        <v>25</v>
      </c>
      <c r="AD5" s="12">
        <v>26</v>
      </c>
      <c r="AE5" s="12">
        <v>27</v>
      </c>
      <c r="AF5" s="12">
        <v>28</v>
      </c>
      <c r="AG5" s="12">
        <v>29</v>
      </c>
      <c r="AH5" s="12">
        <v>30</v>
      </c>
      <c r="AI5" s="12">
        <v>31</v>
      </c>
      <c r="AJ5" s="12">
        <v>32</v>
      </c>
      <c r="AK5" s="12">
        <v>33</v>
      </c>
      <c r="AL5" s="12">
        <v>34</v>
      </c>
      <c r="AM5" s="12">
        <v>35</v>
      </c>
      <c r="AN5" s="12">
        <v>36</v>
      </c>
    </row>
    <row r="6" spans="2:40" ht="92.5" x14ac:dyDescent="0.3">
      <c r="B6" s="58"/>
      <c r="C6" s="13" t="s">
        <v>3889</v>
      </c>
      <c r="D6" s="13" t="s">
        <v>1912</v>
      </c>
      <c r="E6" s="13" t="s">
        <v>1913</v>
      </c>
      <c r="F6" s="13" t="s">
        <v>3405</v>
      </c>
      <c r="G6" s="13" t="s">
        <v>3406</v>
      </c>
      <c r="H6" s="13" t="s">
        <v>2527</v>
      </c>
      <c r="I6" s="13" t="s">
        <v>2268</v>
      </c>
      <c r="J6" s="13" t="s">
        <v>501</v>
      </c>
      <c r="K6" s="13" t="s">
        <v>1401</v>
      </c>
      <c r="L6" s="13" t="s">
        <v>502</v>
      </c>
      <c r="M6" s="13" t="s">
        <v>3890</v>
      </c>
      <c r="N6" s="13" t="s">
        <v>1618</v>
      </c>
      <c r="O6" s="13" t="s">
        <v>780</v>
      </c>
      <c r="P6" s="13" t="s">
        <v>781</v>
      </c>
      <c r="Q6" s="13" t="s">
        <v>2528</v>
      </c>
      <c r="R6" s="13" t="s">
        <v>2743</v>
      </c>
      <c r="S6" s="13" t="s">
        <v>1</v>
      </c>
      <c r="T6" s="13" t="s">
        <v>2529</v>
      </c>
      <c r="U6" s="13" t="s">
        <v>1619</v>
      </c>
      <c r="V6" s="13" t="s">
        <v>782</v>
      </c>
      <c r="W6" s="13" t="s">
        <v>2269</v>
      </c>
      <c r="X6" s="13" t="s">
        <v>266</v>
      </c>
      <c r="Y6" s="13" t="s">
        <v>2530</v>
      </c>
      <c r="Z6" s="13" t="s">
        <v>783</v>
      </c>
      <c r="AA6" s="13" t="s">
        <v>503</v>
      </c>
      <c r="AB6" s="13" t="s">
        <v>1620</v>
      </c>
      <c r="AC6" s="13" t="s">
        <v>3891</v>
      </c>
      <c r="AD6" s="13" t="s">
        <v>4176</v>
      </c>
      <c r="AE6" s="13" t="s">
        <v>1402</v>
      </c>
      <c r="AF6" s="13" t="s">
        <v>4177</v>
      </c>
      <c r="AG6" s="13" t="s">
        <v>1621</v>
      </c>
      <c r="AH6" s="13" t="s">
        <v>3407</v>
      </c>
      <c r="AI6" s="13" t="s">
        <v>3050</v>
      </c>
      <c r="AJ6" s="13" t="s">
        <v>504</v>
      </c>
      <c r="AK6" s="13" t="s">
        <v>2531</v>
      </c>
      <c r="AL6" s="13" t="s">
        <v>267</v>
      </c>
      <c r="AM6" s="13" t="s">
        <v>1159</v>
      </c>
      <c r="AN6" s="13" t="s">
        <v>2532</v>
      </c>
    </row>
    <row r="7" spans="2:40" x14ac:dyDescent="0.3">
      <c r="B7" s="7" t="s">
        <v>2744</v>
      </c>
      <c r="C7" s="1" t="s">
        <v>2744</v>
      </c>
      <c r="D7" s="8" t="s">
        <v>2744</v>
      </c>
      <c r="E7" s="1" t="s">
        <v>2744</v>
      </c>
      <c r="F7" s="1" t="s">
        <v>2744</v>
      </c>
      <c r="G7" s="1" t="s">
        <v>2744</v>
      </c>
      <c r="H7" s="1" t="s">
        <v>2744</v>
      </c>
      <c r="I7" s="1" t="s">
        <v>2744</v>
      </c>
      <c r="J7" s="1" t="s">
        <v>2744</v>
      </c>
      <c r="K7" s="1" t="s">
        <v>2744</v>
      </c>
      <c r="L7" s="1" t="s">
        <v>2744</v>
      </c>
      <c r="M7" s="1" t="s">
        <v>2744</v>
      </c>
      <c r="N7" s="1" t="s">
        <v>2744</v>
      </c>
      <c r="O7" s="1" t="s">
        <v>2744</v>
      </c>
      <c r="P7" s="1" t="s">
        <v>2744</v>
      </c>
      <c r="Q7" s="1" t="s">
        <v>2744</v>
      </c>
      <c r="R7" s="1" t="s">
        <v>2744</v>
      </c>
      <c r="S7" s="1" t="s">
        <v>2744</v>
      </c>
      <c r="T7" s="1" t="s">
        <v>2744</v>
      </c>
      <c r="U7" s="1" t="s">
        <v>2744</v>
      </c>
      <c r="V7" s="1" t="s">
        <v>2744</v>
      </c>
      <c r="W7" s="1" t="s">
        <v>2744</v>
      </c>
      <c r="X7" s="1" t="s">
        <v>2744</v>
      </c>
      <c r="Y7" s="22" t="s">
        <v>2744</v>
      </c>
      <c r="Z7" s="22" t="s">
        <v>2744</v>
      </c>
      <c r="AA7" s="1" t="s">
        <v>2744</v>
      </c>
      <c r="AB7" s="1" t="s">
        <v>2744</v>
      </c>
      <c r="AC7" s="1" t="s">
        <v>2744</v>
      </c>
      <c r="AD7" s="1" t="s">
        <v>2744</v>
      </c>
      <c r="AE7" s="1" t="s">
        <v>2744</v>
      </c>
      <c r="AF7" s="1" t="s">
        <v>2744</v>
      </c>
      <c r="AG7" s="1" t="s">
        <v>2744</v>
      </c>
      <c r="AH7" s="1" t="s">
        <v>2744</v>
      </c>
      <c r="AI7" s="1" t="s">
        <v>2744</v>
      </c>
      <c r="AJ7" s="1" t="s">
        <v>2744</v>
      </c>
      <c r="AK7" s="1" t="s">
        <v>2744</v>
      </c>
      <c r="AL7" s="1" t="s">
        <v>2744</v>
      </c>
      <c r="AM7" s="1" t="s">
        <v>2744</v>
      </c>
      <c r="AN7" s="1" t="s">
        <v>2744</v>
      </c>
    </row>
    <row r="8" spans="2:40" x14ac:dyDescent="0.3">
      <c r="B8" s="18" t="s">
        <v>1914</v>
      </c>
      <c r="C8" s="47" t="s">
        <v>2270</v>
      </c>
      <c r="D8" s="15" t="s">
        <v>2533</v>
      </c>
      <c r="E8" s="37" t="s">
        <v>1622</v>
      </c>
      <c r="F8" s="20" t="s">
        <v>2</v>
      </c>
      <c r="G8" s="40" t="s">
        <v>2</v>
      </c>
      <c r="H8" s="32" t="s">
        <v>2745</v>
      </c>
      <c r="I8" s="33" t="s">
        <v>3408</v>
      </c>
      <c r="J8" s="38" t="s">
        <v>2</v>
      </c>
      <c r="K8" s="4">
        <v>58680</v>
      </c>
      <c r="L8" s="41">
        <v>107.09399999999999</v>
      </c>
      <c r="M8" s="4">
        <v>64256</v>
      </c>
      <c r="N8" s="4">
        <v>60000</v>
      </c>
      <c r="O8" s="4">
        <v>59085</v>
      </c>
      <c r="P8" s="4">
        <v>0</v>
      </c>
      <c r="Q8" s="4">
        <v>50</v>
      </c>
      <c r="R8" s="4">
        <v>0</v>
      </c>
      <c r="S8" s="4">
        <v>0</v>
      </c>
      <c r="T8" s="23">
        <v>4.5</v>
      </c>
      <c r="U8" s="23">
        <v>4.657</v>
      </c>
      <c r="V8" s="5" t="s">
        <v>268</v>
      </c>
      <c r="W8" s="4">
        <v>1020</v>
      </c>
      <c r="X8" s="4">
        <v>2700</v>
      </c>
      <c r="Y8" s="14">
        <v>42277</v>
      </c>
      <c r="Z8" s="14">
        <v>49720</v>
      </c>
      <c r="AA8" s="2"/>
      <c r="AB8" s="31" t="s">
        <v>3892</v>
      </c>
      <c r="AC8" s="5" t="s">
        <v>4178</v>
      </c>
      <c r="AD8" s="2"/>
      <c r="AE8" s="6"/>
      <c r="AF8" s="23"/>
      <c r="AG8" s="6"/>
      <c r="AH8" s="5" t="s">
        <v>2</v>
      </c>
      <c r="AI8" s="5" t="s">
        <v>3893</v>
      </c>
      <c r="AJ8" s="5" t="s">
        <v>3648</v>
      </c>
      <c r="AK8" s="21" t="s">
        <v>2</v>
      </c>
      <c r="AL8" s="39" t="s">
        <v>3894</v>
      </c>
      <c r="AM8" s="26" t="s">
        <v>4179</v>
      </c>
      <c r="AN8" s="34" t="s">
        <v>2534</v>
      </c>
    </row>
    <row r="9" spans="2:40" x14ac:dyDescent="0.3">
      <c r="B9" s="18" t="s">
        <v>3051</v>
      </c>
      <c r="C9" s="47" t="s">
        <v>2270</v>
      </c>
      <c r="D9" s="15" t="s">
        <v>2533</v>
      </c>
      <c r="E9" s="68" t="s">
        <v>3052</v>
      </c>
      <c r="F9" s="55" t="s">
        <v>2</v>
      </c>
      <c r="G9" s="40" t="s">
        <v>2</v>
      </c>
      <c r="H9" s="71" t="s">
        <v>2745</v>
      </c>
      <c r="I9" s="67" t="s">
        <v>3408</v>
      </c>
      <c r="J9" s="73" t="s">
        <v>2</v>
      </c>
      <c r="K9" s="4">
        <v>58680</v>
      </c>
      <c r="L9" s="41">
        <v>107.09399999999999</v>
      </c>
      <c r="M9" s="4">
        <v>64256</v>
      </c>
      <c r="N9" s="4">
        <v>60000</v>
      </c>
      <c r="O9" s="4">
        <v>59085</v>
      </c>
      <c r="P9" s="4">
        <v>0</v>
      </c>
      <c r="Q9" s="4">
        <v>50</v>
      </c>
      <c r="R9" s="4">
        <v>0</v>
      </c>
      <c r="S9" s="4">
        <v>0</v>
      </c>
      <c r="T9" s="23">
        <v>4.5</v>
      </c>
      <c r="U9" s="23">
        <v>4.657</v>
      </c>
      <c r="V9" s="5" t="s">
        <v>268</v>
      </c>
      <c r="W9" s="4">
        <v>1020</v>
      </c>
      <c r="X9" s="4">
        <v>2700</v>
      </c>
      <c r="Y9" s="14">
        <v>42277</v>
      </c>
      <c r="Z9" s="14">
        <v>49720</v>
      </c>
      <c r="AA9" s="2"/>
      <c r="AB9" s="69" t="s">
        <v>3892</v>
      </c>
      <c r="AC9" s="5" t="s">
        <v>4178</v>
      </c>
      <c r="AD9" s="2"/>
      <c r="AE9" s="6"/>
      <c r="AF9" s="23"/>
      <c r="AG9" s="6"/>
      <c r="AH9" s="5" t="s">
        <v>2</v>
      </c>
      <c r="AI9" s="5" t="s">
        <v>3893</v>
      </c>
      <c r="AJ9" s="5" t="s">
        <v>3648</v>
      </c>
      <c r="AK9" s="21" t="s">
        <v>2</v>
      </c>
      <c r="AL9" s="72" t="s">
        <v>3894</v>
      </c>
      <c r="AM9" s="54" t="s">
        <v>4179</v>
      </c>
      <c r="AN9" s="34" t="s">
        <v>2534</v>
      </c>
    </row>
    <row r="10" spans="2:40" x14ac:dyDescent="0.3">
      <c r="B10" s="18" t="s">
        <v>4180</v>
      </c>
      <c r="C10" s="47" t="s">
        <v>2270</v>
      </c>
      <c r="D10" s="15" t="s">
        <v>2533</v>
      </c>
      <c r="E10" s="68" t="s">
        <v>2</v>
      </c>
      <c r="F10" s="55" t="s">
        <v>2</v>
      </c>
      <c r="G10" s="40" t="s">
        <v>2</v>
      </c>
      <c r="H10" s="71" t="s">
        <v>2745</v>
      </c>
      <c r="I10" s="67" t="s">
        <v>3408</v>
      </c>
      <c r="J10" s="73" t="s">
        <v>2</v>
      </c>
      <c r="K10" s="4">
        <v>58680</v>
      </c>
      <c r="L10" s="41">
        <v>107.09399999999999</v>
      </c>
      <c r="M10" s="4">
        <v>64256</v>
      </c>
      <c r="N10" s="4">
        <v>60000</v>
      </c>
      <c r="O10" s="4">
        <v>59085</v>
      </c>
      <c r="P10" s="4">
        <v>0</v>
      </c>
      <c r="Q10" s="4">
        <v>50</v>
      </c>
      <c r="R10" s="4">
        <v>0</v>
      </c>
      <c r="S10" s="4">
        <v>0</v>
      </c>
      <c r="T10" s="23">
        <v>4.5</v>
      </c>
      <c r="U10" s="23">
        <v>4.657</v>
      </c>
      <c r="V10" s="5" t="s">
        <v>268</v>
      </c>
      <c r="W10" s="4">
        <v>1020</v>
      </c>
      <c r="X10" s="4">
        <v>2700</v>
      </c>
      <c r="Y10" s="14">
        <v>42277</v>
      </c>
      <c r="Z10" s="14">
        <v>49720</v>
      </c>
      <c r="AA10" s="2"/>
      <c r="AB10" s="69" t="s">
        <v>3892</v>
      </c>
      <c r="AC10" s="5" t="s">
        <v>4178</v>
      </c>
      <c r="AD10" s="2"/>
      <c r="AE10" s="6"/>
      <c r="AF10" s="23"/>
      <c r="AG10" s="6"/>
      <c r="AH10" s="5" t="s">
        <v>2</v>
      </c>
      <c r="AI10" s="5" t="s">
        <v>3893</v>
      </c>
      <c r="AJ10" s="5" t="s">
        <v>3648</v>
      </c>
      <c r="AK10" s="21" t="s">
        <v>2</v>
      </c>
      <c r="AL10" s="72" t="s">
        <v>3894</v>
      </c>
      <c r="AM10" s="54" t="s">
        <v>4179</v>
      </c>
      <c r="AN10" s="34" t="s">
        <v>2534</v>
      </c>
    </row>
    <row r="11" spans="2:40" x14ac:dyDescent="0.3">
      <c r="B11" s="18" t="s">
        <v>784</v>
      </c>
      <c r="C11" s="47" t="s">
        <v>1915</v>
      </c>
      <c r="D11" s="15" t="s">
        <v>2535</v>
      </c>
      <c r="E11" s="68" t="s">
        <v>1622</v>
      </c>
      <c r="F11" s="55" t="s">
        <v>2</v>
      </c>
      <c r="G11" s="40" t="s">
        <v>2</v>
      </c>
      <c r="H11" s="71" t="s">
        <v>2745</v>
      </c>
      <c r="I11" s="67" t="s">
        <v>3408</v>
      </c>
      <c r="J11" s="73" t="s">
        <v>2</v>
      </c>
      <c r="K11" s="4">
        <v>2831456</v>
      </c>
      <c r="L11" s="41">
        <v>96.194999999999993</v>
      </c>
      <c r="M11" s="4">
        <v>2712699</v>
      </c>
      <c r="N11" s="4">
        <v>2820000</v>
      </c>
      <c r="O11" s="4">
        <v>2822744</v>
      </c>
      <c r="P11" s="4">
        <v>0</v>
      </c>
      <c r="Q11" s="4">
        <v>-1691</v>
      </c>
      <c r="R11" s="4">
        <v>0</v>
      </c>
      <c r="S11" s="4">
        <v>0</v>
      </c>
      <c r="T11" s="23">
        <v>2.125</v>
      </c>
      <c r="U11" s="23">
        <v>2.0619999999999998</v>
      </c>
      <c r="V11" s="5" t="s">
        <v>1916</v>
      </c>
      <c r="W11" s="4">
        <v>25077</v>
      </c>
      <c r="X11" s="4">
        <v>59924</v>
      </c>
      <c r="Y11" s="14">
        <v>42956</v>
      </c>
      <c r="Z11" s="14">
        <v>45504</v>
      </c>
      <c r="AA11" s="2"/>
      <c r="AB11" s="69" t="s">
        <v>3892</v>
      </c>
      <c r="AC11" s="5" t="s">
        <v>4178</v>
      </c>
      <c r="AD11" s="2"/>
      <c r="AE11" s="6"/>
      <c r="AF11" s="23"/>
      <c r="AG11" s="6"/>
      <c r="AH11" s="5" t="s">
        <v>2</v>
      </c>
      <c r="AI11" s="5" t="s">
        <v>3893</v>
      </c>
      <c r="AJ11" s="5" t="s">
        <v>3649</v>
      </c>
      <c r="AK11" s="21" t="s">
        <v>2</v>
      </c>
      <c r="AL11" s="72" t="s">
        <v>3894</v>
      </c>
      <c r="AM11" s="54" t="s">
        <v>4179</v>
      </c>
      <c r="AN11" s="34" t="s">
        <v>2534</v>
      </c>
    </row>
    <row r="12" spans="2:40" x14ac:dyDescent="0.3">
      <c r="B12" s="18" t="s">
        <v>1917</v>
      </c>
      <c r="C12" s="47" t="s">
        <v>1915</v>
      </c>
      <c r="D12" s="15" t="s">
        <v>2535</v>
      </c>
      <c r="E12" s="68" t="s">
        <v>2</v>
      </c>
      <c r="F12" s="55" t="s">
        <v>2</v>
      </c>
      <c r="G12" s="40" t="s">
        <v>2</v>
      </c>
      <c r="H12" s="71" t="s">
        <v>2745</v>
      </c>
      <c r="I12" s="67" t="s">
        <v>3408</v>
      </c>
      <c r="J12" s="73" t="s">
        <v>2</v>
      </c>
      <c r="K12" s="4">
        <v>2168775</v>
      </c>
      <c r="L12" s="41">
        <v>96.194999999999993</v>
      </c>
      <c r="M12" s="4">
        <v>2077812</v>
      </c>
      <c r="N12" s="4">
        <v>2160000</v>
      </c>
      <c r="O12" s="4">
        <v>2162101</v>
      </c>
      <c r="P12" s="4">
        <v>0</v>
      </c>
      <c r="Q12" s="4">
        <v>-1295</v>
      </c>
      <c r="R12" s="4">
        <v>0</v>
      </c>
      <c r="S12" s="4">
        <v>0</v>
      </c>
      <c r="T12" s="23">
        <v>2.125</v>
      </c>
      <c r="U12" s="23">
        <v>2.0619999999999998</v>
      </c>
      <c r="V12" s="5" t="s">
        <v>1916</v>
      </c>
      <c r="W12" s="4">
        <v>19208</v>
      </c>
      <c r="X12" s="4">
        <v>45900</v>
      </c>
      <c r="Y12" s="14">
        <v>42956</v>
      </c>
      <c r="Z12" s="14">
        <v>45504</v>
      </c>
      <c r="AA12" s="2"/>
      <c r="AB12" s="69" t="s">
        <v>3892</v>
      </c>
      <c r="AC12" s="5" t="s">
        <v>4178</v>
      </c>
      <c r="AD12" s="2"/>
      <c r="AE12" s="6"/>
      <c r="AF12" s="23"/>
      <c r="AG12" s="6"/>
      <c r="AH12" s="5" t="s">
        <v>2</v>
      </c>
      <c r="AI12" s="5" t="s">
        <v>3893</v>
      </c>
      <c r="AJ12" s="5" t="s">
        <v>3649</v>
      </c>
      <c r="AK12" s="21" t="s">
        <v>2</v>
      </c>
      <c r="AL12" s="72" t="s">
        <v>3894</v>
      </c>
      <c r="AM12" s="54" t="s">
        <v>4179</v>
      </c>
      <c r="AN12" s="34" t="s">
        <v>2534</v>
      </c>
    </row>
    <row r="13" spans="2:40" x14ac:dyDescent="0.3">
      <c r="B13" s="18" t="s">
        <v>3053</v>
      </c>
      <c r="C13" s="47" t="s">
        <v>269</v>
      </c>
      <c r="D13" s="15" t="s">
        <v>2535</v>
      </c>
      <c r="E13" s="68" t="s">
        <v>2</v>
      </c>
      <c r="F13" s="55" t="s">
        <v>2</v>
      </c>
      <c r="G13" s="40" t="s">
        <v>2</v>
      </c>
      <c r="H13" s="71" t="s">
        <v>2745</v>
      </c>
      <c r="I13" s="67" t="s">
        <v>3408</v>
      </c>
      <c r="J13" s="73" t="s">
        <v>2</v>
      </c>
      <c r="K13" s="4">
        <v>5008984</v>
      </c>
      <c r="L13" s="41">
        <v>96.055000000000007</v>
      </c>
      <c r="M13" s="4">
        <v>4802751</v>
      </c>
      <c r="N13" s="4">
        <v>5000000</v>
      </c>
      <c r="O13" s="4">
        <v>5002485</v>
      </c>
      <c r="P13" s="4">
        <v>0</v>
      </c>
      <c r="Q13" s="4">
        <v>-1317</v>
      </c>
      <c r="R13" s="4">
        <v>0</v>
      </c>
      <c r="S13" s="4">
        <v>0</v>
      </c>
      <c r="T13" s="23">
        <v>2.25</v>
      </c>
      <c r="U13" s="23">
        <v>2.222</v>
      </c>
      <c r="V13" s="5" t="s">
        <v>3895</v>
      </c>
      <c r="W13" s="4">
        <v>19268</v>
      </c>
      <c r="X13" s="4">
        <v>112500</v>
      </c>
      <c r="Y13" s="14">
        <v>43039</v>
      </c>
      <c r="Z13" s="14">
        <v>45596</v>
      </c>
      <c r="AA13" s="2"/>
      <c r="AB13" s="69" t="s">
        <v>3892</v>
      </c>
      <c r="AC13" s="5" t="s">
        <v>4178</v>
      </c>
      <c r="AD13" s="2"/>
      <c r="AE13" s="6"/>
      <c r="AF13" s="23"/>
      <c r="AG13" s="6"/>
      <c r="AH13" s="5" t="s">
        <v>2</v>
      </c>
      <c r="AI13" s="5" t="s">
        <v>3893</v>
      </c>
      <c r="AJ13" s="5" t="s">
        <v>3649</v>
      </c>
      <c r="AK13" s="21" t="s">
        <v>2</v>
      </c>
      <c r="AL13" s="72" t="s">
        <v>3894</v>
      </c>
      <c r="AM13" s="54" t="s">
        <v>4179</v>
      </c>
      <c r="AN13" s="34" t="s">
        <v>2534</v>
      </c>
    </row>
    <row r="14" spans="2:40" x14ac:dyDescent="0.3">
      <c r="B14" s="18" t="s">
        <v>4181</v>
      </c>
      <c r="C14" s="47" t="s">
        <v>1160</v>
      </c>
      <c r="D14" s="15" t="s">
        <v>2535</v>
      </c>
      <c r="E14" s="68" t="s">
        <v>1622</v>
      </c>
      <c r="F14" s="55" t="s">
        <v>2</v>
      </c>
      <c r="G14" s="40" t="s">
        <v>2</v>
      </c>
      <c r="H14" s="71" t="s">
        <v>2745</v>
      </c>
      <c r="I14" s="67" t="s">
        <v>3408</v>
      </c>
      <c r="J14" s="73" t="s">
        <v>2</v>
      </c>
      <c r="K14" s="4">
        <v>2301142</v>
      </c>
      <c r="L14" s="41">
        <v>94.710999999999999</v>
      </c>
      <c r="M14" s="4">
        <v>2184983</v>
      </c>
      <c r="N14" s="4">
        <v>2307000</v>
      </c>
      <c r="O14" s="4">
        <v>2304786</v>
      </c>
      <c r="P14" s="4">
        <v>0</v>
      </c>
      <c r="Q14" s="4">
        <v>738</v>
      </c>
      <c r="R14" s="4">
        <v>0</v>
      </c>
      <c r="S14" s="4">
        <v>0</v>
      </c>
      <c r="T14" s="23">
        <v>2.25</v>
      </c>
      <c r="U14" s="23">
        <v>2.2850000000000001</v>
      </c>
      <c r="V14" s="5" t="s">
        <v>3409</v>
      </c>
      <c r="W14" s="4">
        <v>6739</v>
      </c>
      <c r="X14" s="4">
        <v>51908</v>
      </c>
      <c r="Y14" s="14">
        <v>43041</v>
      </c>
      <c r="Z14" s="14">
        <v>45976</v>
      </c>
      <c r="AA14" s="2"/>
      <c r="AB14" s="69" t="s">
        <v>3892</v>
      </c>
      <c r="AC14" s="5" t="s">
        <v>4178</v>
      </c>
      <c r="AD14" s="2"/>
      <c r="AE14" s="6"/>
      <c r="AF14" s="23"/>
      <c r="AG14" s="6"/>
      <c r="AH14" s="5" t="s">
        <v>2</v>
      </c>
      <c r="AI14" s="5" t="s">
        <v>3893</v>
      </c>
      <c r="AJ14" s="5" t="s">
        <v>3649</v>
      </c>
      <c r="AK14" s="21" t="s">
        <v>2</v>
      </c>
      <c r="AL14" s="72" t="s">
        <v>3894</v>
      </c>
      <c r="AM14" s="54" t="s">
        <v>4179</v>
      </c>
      <c r="AN14" s="34" t="s">
        <v>2534</v>
      </c>
    </row>
    <row r="15" spans="2:40" x14ac:dyDescent="0.3">
      <c r="B15" s="18" t="s">
        <v>1161</v>
      </c>
      <c r="C15" s="47" t="s">
        <v>1160</v>
      </c>
      <c r="D15" s="15" t="s">
        <v>2535</v>
      </c>
      <c r="E15" s="68" t="s">
        <v>2</v>
      </c>
      <c r="F15" s="55" t="s">
        <v>2</v>
      </c>
      <c r="G15" s="40" t="s">
        <v>2</v>
      </c>
      <c r="H15" s="71" t="s">
        <v>2745</v>
      </c>
      <c r="I15" s="67" t="s">
        <v>3408</v>
      </c>
      <c r="J15" s="73" t="s">
        <v>2</v>
      </c>
      <c r="K15" s="4">
        <v>2686162</v>
      </c>
      <c r="L15" s="41">
        <v>94.710999999999999</v>
      </c>
      <c r="M15" s="4">
        <v>2550567</v>
      </c>
      <c r="N15" s="4">
        <v>2693000</v>
      </c>
      <c r="O15" s="4">
        <v>2690415</v>
      </c>
      <c r="P15" s="4">
        <v>0</v>
      </c>
      <c r="Q15" s="4">
        <v>861</v>
      </c>
      <c r="R15" s="4">
        <v>0</v>
      </c>
      <c r="S15" s="4">
        <v>0</v>
      </c>
      <c r="T15" s="23">
        <v>2.25</v>
      </c>
      <c r="U15" s="23">
        <v>2.2850000000000001</v>
      </c>
      <c r="V15" s="5" t="s">
        <v>3409</v>
      </c>
      <c r="W15" s="4">
        <v>7867</v>
      </c>
      <c r="X15" s="4">
        <v>60593</v>
      </c>
      <c r="Y15" s="14">
        <v>43041</v>
      </c>
      <c r="Z15" s="14">
        <v>45976</v>
      </c>
      <c r="AA15" s="2"/>
      <c r="AB15" s="69" t="s">
        <v>3892</v>
      </c>
      <c r="AC15" s="5" t="s">
        <v>4178</v>
      </c>
      <c r="AD15" s="2"/>
      <c r="AE15" s="6"/>
      <c r="AF15" s="23"/>
      <c r="AG15" s="6"/>
      <c r="AH15" s="5" t="s">
        <v>2</v>
      </c>
      <c r="AI15" s="5" t="s">
        <v>3893</v>
      </c>
      <c r="AJ15" s="5" t="s">
        <v>3649</v>
      </c>
      <c r="AK15" s="21" t="s">
        <v>2</v>
      </c>
      <c r="AL15" s="72" t="s">
        <v>3894</v>
      </c>
      <c r="AM15" s="54" t="s">
        <v>4179</v>
      </c>
      <c r="AN15" s="34" t="s">
        <v>2534</v>
      </c>
    </row>
    <row r="16" spans="2:40" x14ac:dyDescent="0.3">
      <c r="B16" s="18" t="s">
        <v>2271</v>
      </c>
      <c r="C16" s="47" t="s">
        <v>3896</v>
      </c>
      <c r="D16" s="15" t="s">
        <v>2535</v>
      </c>
      <c r="E16" s="68" t="s">
        <v>3052</v>
      </c>
      <c r="F16" s="55" t="s">
        <v>2</v>
      </c>
      <c r="G16" s="40" t="s">
        <v>2</v>
      </c>
      <c r="H16" s="71" t="s">
        <v>2745</v>
      </c>
      <c r="I16" s="67" t="s">
        <v>3408</v>
      </c>
      <c r="J16" s="73" t="s">
        <v>2</v>
      </c>
      <c r="K16" s="4">
        <v>1425583</v>
      </c>
      <c r="L16" s="41">
        <v>92.171999999999997</v>
      </c>
      <c r="M16" s="4">
        <v>1322668</v>
      </c>
      <c r="N16" s="4">
        <v>1435000</v>
      </c>
      <c r="O16" s="4">
        <v>1431642</v>
      </c>
      <c r="P16" s="4">
        <v>0</v>
      </c>
      <c r="Q16" s="4">
        <v>945</v>
      </c>
      <c r="R16" s="4">
        <v>0</v>
      </c>
      <c r="S16" s="4">
        <v>0</v>
      </c>
      <c r="T16" s="23">
        <v>1.625</v>
      </c>
      <c r="U16" s="23">
        <v>1.6970000000000001</v>
      </c>
      <c r="V16" s="5" t="s">
        <v>3409</v>
      </c>
      <c r="W16" s="4">
        <v>3028</v>
      </c>
      <c r="X16" s="4">
        <v>23319</v>
      </c>
      <c r="Y16" s="14">
        <v>42543</v>
      </c>
      <c r="Z16" s="14">
        <v>46157</v>
      </c>
      <c r="AA16" s="2"/>
      <c r="AB16" s="69" t="s">
        <v>3892</v>
      </c>
      <c r="AC16" s="5" t="s">
        <v>4178</v>
      </c>
      <c r="AD16" s="2"/>
      <c r="AE16" s="6"/>
      <c r="AF16" s="23"/>
      <c r="AG16" s="6"/>
      <c r="AH16" s="5" t="s">
        <v>2</v>
      </c>
      <c r="AI16" s="5" t="s">
        <v>3893</v>
      </c>
      <c r="AJ16" s="5" t="s">
        <v>3649</v>
      </c>
      <c r="AK16" s="21" t="s">
        <v>2</v>
      </c>
      <c r="AL16" s="72" t="s">
        <v>3894</v>
      </c>
      <c r="AM16" s="54" t="s">
        <v>4179</v>
      </c>
      <c r="AN16" s="34" t="s">
        <v>2534</v>
      </c>
    </row>
    <row r="17" spans="2:40" x14ac:dyDescent="0.3">
      <c r="B17" s="18" t="s">
        <v>4182</v>
      </c>
      <c r="C17" s="47" t="s">
        <v>3896</v>
      </c>
      <c r="D17" s="15" t="s">
        <v>2535</v>
      </c>
      <c r="E17" s="68" t="s">
        <v>2</v>
      </c>
      <c r="F17" s="55" t="s">
        <v>2</v>
      </c>
      <c r="G17" s="40" t="s">
        <v>2</v>
      </c>
      <c r="H17" s="71" t="s">
        <v>2745</v>
      </c>
      <c r="I17" s="67" t="s">
        <v>3408</v>
      </c>
      <c r="J17" s="73" t="s">
        <v>2</v>
      </c>
      <c r="K17" s="4">
        <v>14902</v>
      </c>
      <c r="L17" s="41">
        <v>92.171999999999997</v>
      </c>
      <c r="M17" s="4">
        <v>13826</v>
      </c>
      <c r="N17" s="4">
        <v>15000</v>
      </c>
      <c r="O17" s="4">
        <v>14965</v>
      </c>
      <c r="P17" s="4">
        <v>0</v>
      </c>
      <c r="Q17" s="4">
        <v>10</v>
      </c>
      <c r="R17" s="4">
        <v>0</v>
      </c>
      <c r="S17" s="4">
        <v>0</v>
      </c>
      <c r="T17" s="23">
        <v>1.625</v>
      </c>
      <c r="U17" s="23">
        <v>1.6970000000000001</v>
      </c>
      <c r="V17" s="5" t="s">
        <v>3409</v>
      </c>
      <c r="W17" s="4">
        <v>32</v>
      </c>
      <c r="X17" s="4">
        <v>244</v>
      </c>
      <c r="Y17" s="9">
        <v>42543</v>
      </c>
      <c r="Z17" s="9">
        <v>46157</v>
      </c>
      <c r="AA17" s="2"/>
      <c r="AB17" s="69" t="s">
        <v>3892</v>
      </c>
      <c r="AC17" s="5" t="s">
        <v>4178</v>
      </c>
      <c r="AD17" s="2"/>
      <c r="AE17" s="6"/>
      <c r="AF17" s="23"/>
      <c r="AG17" s="6"/>
      <c r="AH17" s="5" t="s">
        <v>2</v>
      </c>
      <c r="AI17" s="5" t="s">
        <v>3893</v>
      </c>
      <c r="AJ17" s="5" t="s">
        <v>3649</v>
      </c>
      <c r="AK17" s="21" t="s">
        <v>2</v>
      </c>
      <c r="AL17" s="72" t="s">
        <v>3894</v>
      </c>
      <c r="AM17" s="54" t="s">
        <v>4179</v>
      </c>
      <c r="AN17" s="34" t="s">
        <v>2534</v>
      </c>
    </row>
    <row r="18" spans="2:40" x14ac:dyDescent="0.3">
      <c r="B18" s="18" t="s">
        <v>785</v>
      </c>
      <c r="C18" s="47" t="s">
        <v>505</v>
      </c>
      <c r="D18" s="15" t="s">
        <v>2535</v>
      </c>
      <c r="E18" s="68" t="s">
        <v>1622</v>
      </c>
      <c r="F18" s="55" t="s">
        <v>2</v>
      </c>
      <c r="G18" s="40" t="s">
        <v>2</v>
      </c>
      <c r="H18" s="71" t="s">
        <v>2745</v>
      </c>
      <c r="I18" s="67" t="s">
        <v>3408</v>
      </c>
      <c r="J18" s="73" t="s">
        <v>2</v>
      </c>
      <c r="K18" s="4">
        <v>442494</v>
      </c>
      <c r="L18" s="41">
        <v>93.125</v>
      </c>
      <c r="M18" s="4">
        <v>419063</v>
      </c>
      <c r="N18" s="4">
        <v>450000</v>
      </c>
      <c r="O18" s="4">
        <v>446685</v>
      </c>
      <c r="P18" s="4">
        <v>0</v>
      </c>
      <c r="Q18" s="4">
        <v>756</v>
      </c>
      <c r="R18" s="4">
        <v>0</v>
      </c>
      <c r="S18" s="4">
        <v>0</v>
      </c>
      <c r="T18" s="23">
        <v>2.25</v>
      </c>
      <c r="U18" s="23">
        <v>2.4390000000000001</v>
      </c>
      <c r="V18" s="5" t="s">
        <v>268</v>
      </c>
      <c r="W18" s="4">
        <v>3824</v>
      </c>
      <c r="X18" s="4">
        <v>10125</v>
      </c>
      <c r="Y18" s="9">
        <v>42779</v>
      </c>
      <c r="Z18" s="9">
        <v>46433</v>
      </c>
      <c r="AA18" s="2"/>
      <c r="AB18" s="69" t="s">
        <v>3892</v>
      </c>
      <c r="AC18" s="5" t="s">
        <v>4178</v>
      </c>
      <c r="AD18" s="2"/>
      <c r="AE18" s="6"/>
      <c r="AF18" s="23"/>
      <c r="AG18" s="6"/>
      <c r="AH18" s="5" t="s">
        <v>2</v>
      </c>
      <c r="AI18" s="5" t="s">
        <v>3893</v>
      </c>
      <c r="AJ18" s="5" t="s">
        <v>3649</v>
      </c>
      <c r="AK18" s="21" t="s">
        <v>2</v>
      </c>
      <c r="AL18" s="72" t="s">
        <v>3894</v>
      </c>
      <c r="AM18" s="54" t="s">
        <v>4179</v>
      </c>
      <c r="AN18" s="34" t="s">
        <v>2534</v>
      </c>
    </row>
    <row r="19" spans="2:40" x14ac:dyDescent="0.3">
      <c r="B19" s="18" t="s">
        <v>1918</v>
      </c>
      <c r="C19" s="47" t="s">
        <v>1623</v>
      </c>
      <c r="D19" s="15" t="s">
        <v>2535</v>
      </c>
      <c r="E19" s="68" t="s">
        <v>1622</v>
      </c>
      <c r="F19" s="55" t="s">
        <v>2</v>
      </c>
      <c r="G19" s="40" t="s">
        <v>2</v>
      </c>
      <c r="H19" s="71" t="s">
        <v>2745</v>
      </c>
      <c r="I19" s="67" t="s">
        <v>3408</v>
      </c>
      <c r="J19" s="73" t="s">
        <v>2</v>
      </c>
      <c r="K19" s="4">
        <v>3368945</v>
      </c>
      <c r="L19" s="41">
        <v>98.93</v>
      </c>
      <c r="M19" s="4">
        <v>3353727</v>
      </c>
      <c r="N19" s="4">
        <v>3390000</v>
      </c>
      <c r="O19" s="4">
        <v>3388564</v>
      </c>
      <c r="P19" s="4">
        <v>0</v>
      </c>
      <c r="Q19" s="4">
        <v>3815</v>
      </c>
      <c r="R19" s="4">
        <v>0</v>
      </c>
      <c r="S19" s="4">
        <v>0</v>
      </c>
      <c r="T19" s="23">
        <v>1.75</v>
      </c>
      <c r="U19" s="23">
        <v>1.865</v>
      </c>
      <c r="V19" s="5" t="s">
        <v>3409</v>
      </c>
      <c r="W19" s="4">
        <v>7702</v>
      </c>
      <c r="X19" s="4">
        <v>59325</v>
      </c>
      <c r="Y19" s="9">
        <v>42972</v>
      </c>
      <c r="Z19" s="9">
        <v>45061</v>
      </c>
      <c r="AA19" s="2"/>
      <c r="AB19" s="69" t="s">
        <v>3892</v>
      </c>
      <c r="AC19" s="5" t="s">
        <v>4178</v>
      </c>
      <c r="AD19" s="2"/>
      <c r="AE19" s="6"/>
      <c r="AF19" s="23"/>
      <c r="AG19" s="6"/>
      <c r="AH19" s="5" t="s">
        <v>2</v>
      </c>
      <c r="AI19" s="5" t="s">
        <v>3893</v>
      </c>
      <c r="AJ19" s="5" t="s">
        <v>3649</v>
      </c>
      <c r="AK19" s="21" t="s">
        <v>2</v>
      </c>
      <c r="AL19" s="72" t="s">
        <v>3894</v>
      </c>
      <c r="AM19" s="54" t="s">
        <v>4179</v>
      </c>
      <c r="AN19" s="34" t="s">
        <v>2534</v>
      </c>
    </row>
    <row r="20" spans="2:40" x14ac:dyDescent="0.3">
      <c r="B20" s="18" t="s">
        <v>3054</v>
      </c>
      <c r="C20" s="47" t="s">
        <v>1623</v>
      </c>
      <c r="D20" s="15" t="s">
        <v>2535</v>
      </c>
      <c r="E20" s="68" t="s">
        <v>2</v>
      </c>
      <c r="F20" s="55" t="s">
        <v>2</v>
      </c>
      <c r="G20" s="40" t="s">
        <v>2</v>
      </c>
      <c r="H20" s="71" t="s">
        <v>2745</v>
      </c>
      <c r="I20" s="67" t="s">
        <v>3408</v>
      </c>
      <c r="J20" s="73" t="s">
        <v>2</v>
      </c>
      <c r="K20" s="4">
        <v>606211</v>
      </c>
      <c r="L20" s="41">
        <v>98.93</v>
      </c>
      <c r="M20" s="4">
        <v>603473</v>
      </c>
      <c r="N20" s="4">
        <v>610000</v>
      </c>
      <c r="O20" s="4">
        <v>609742</v>
      </c>
      <c r="P20" s="4">
        <v>0</v>
      </c>
      <c r="Q20" s="4">
        <v>686</v>
      </c>
      <c r="R20" s="4">
        <v>0</v>
      </c>
      <c r="S20" s="4">
        <v>0</v>
      </c>
      <c r="T20" s="23">
        <v>1.75</v>
      </c>
      <c r="U20" s="23">
        <v>1.865</v>
      </c>
      <c r="V20" s="5" t="s">
        <v>3409</v>
      </c>
      <c r="W20" s="4">
        <v>1386</v>
      </c>
      <c r="X20" s="4">
        <v>10675</v>
      </c>
      <c r="Y20" s="9">
        <v>42972</v>
      </c>
      <c r="Z20" s="9">
        <v>45061</v>
      </c>
      <c r="AA20" s="2"/>
      <c r="AB20" s="69" t="s">
        <v>3892</v>
      </c>
      <c r="AC20" s="5" t="s">
        <v>4178</v>
      </c>
      <c r="AD20" s="2"/>
      <c r="AE20" s="6"/>
      <c r="AF20" s="23"/>
      <c r="AG20" s="6"/>
      <c r="AH20" s="5" t="s">
        <v>2</v>
      </c>
      <c r="AI20" s="5" t="s">
        <v>3893</v>
      </c>
      <c r="AJ20" s="5" t="s">
        <v>3649</v>
      </c>
      <c r="AK20" s="21" t="s">
        <v>2</v>
      </c>
      <c r="AL20" s="72" t="s">
        <v>3894</v>
      </c>
      <c r="AM20" s="54" t="s">
        <v>4179</v>
      </c>
      <c r="AN20" s="34" t="s">
        <v>2534</v>
      </c>
    </row>
    <row r="21" spans="2:40" x14ac:dyDescent="0.3">
      <c r="B21" s="18" t="s">
        <v>4183</v>
      </c>
      <c r="C21" s="47" t="s">
        <v>3055</v>
      </c>
      <c r="D21" s="15" t="s">
        <v>2535</v>
      </c>
      <c r="E21" s="68" t="s">
        <v>1622</v>
      </c>
      <c r="F21" s="55" t="s">
        <v>2</v>
      </c>
      <c r="G21" s="40" t="s">
        <v>2</v>
      </c>
      <c r="H21" s="71" t="s">
        <v>2745</v>
      </c>
      <c r="I21" s="67" t="s">
        <v>3408</v>
      </c>
      <c r="J21" s="73" t="s">
        <v>2</v>
      </c>
      <c r="K21" s="4">
        <v>4556237</v>
      </c>
      <c r="L21" s="41">
        <v>98.613</v>
      </c>
      <c r="M21" s="4">
        <v>4338972</v>
      </c>
      <c r="N21" s="4">
        <v>4400000</v>
      </c>
      <c r="O21" s="4">
        <v>4417228</v>
      </c>
      <c r="P21" s="4">
        <v>0</v>
      </c>
      <c r="Q21" s="4">
        <v>-27295</v>
      </c>
      <c r="R21" s="4">
        <v>0</v>
      </c>
      <c r="S21" s="4">
        <v>0</v>
      </c>
      <c r="T21" s="23">
        <v>2.5</v>
      </c>
      <c r="U21" s="23">
        <v>1.8640000000000001</v>
      </c>
      <c r="V21" s="5" t="s">
        <v>268</v>
      </c>
      <c r="W21" s="4">
        <v>41549</v>
      </c>
      <c r="X21" s="4">
        <v>110000</v>
      </c>
      <c r="Y21" s="9">
        <v>42990</v>
      </c>
      <c r="Z21" s="9">
        <v>45153</v>
      </c>
      <c r="AA21" s="2"/>
      <c r="AB21" s="69" t="s">
        <v>3892</v>
      </c>
      <c r="AC21" s="5" t="s">
        <v>4178</v>
      </c>
      <c r="AD21" s="2"/>
      <c r="AE21" s="6"/>
      <c r="AF21" s="23"/>
      <c r="AG21" s="6"/>
      <c r="AH21" s="5" t="s">
        <v>2</v>
      </c>
      <c r="AI21" s="5" t="s">
        <v>3893</v>
      </c>
      <c r="AJ21" s="5" t="s">
        <v>3649</v>
      </c>
      <c r="AK21" s="21" t="s">
        <v>2</v>
      </c>
      <c r="AL21" s="72" t="s">
        <v>3894</v>
      </c>
      <c r="AM21" s="54" t="s">
        <v>4179</v>
      </c>
      <c r="AN21" s="34" t="s">
        <v>2534</v>
      </c>
    </row>
    <row r="22" spans="2:40" x14ac:dyDescent="0.3">
      <c r="B22" s="18" t="s">
        <v>786</v>
      </c>
      <c r="C22" s="47" t="s">
        <v>3055</v>
      </c>
      <c r="D22" s="15" t="s">
        <v>2535</v>
      </c>
      <c r="E22" s="68" t="s">
        <v>2</v>
      </c>
      <c r="F22" s="55" t="s">
        <v>2</v>
      </c>
      <c r="G22" s="40" t="s">
        <v>2</v>
      </c>
      <c r="H22" s="71" t="s">
        <v>2745</v>
      </c>
      <c r="I22" s="67" t="s">
        <v>3408</v>
      </c>
      <c r="J22" s="73" t="s">
        <v>2</v>
      </c>
      <c r="K22" s="4">
        <v>414203</v>
      </c>
      <c r="L22" s="41">
        <v>98.613</v>
      </c>
      <c r="M22" s="4">
        <v>394452</v>
      </c>
      <c r="N22" s="4">
        <v>400000</v>
      </c>
      <c r="O22" s="4">
        <v>401566</v>
      </c>
      <c r="P22" s="4">
        <v>0</v>
      </c>
      <c r="Q22" s="4">
        <v>-2481</v>
      </c>
      <c r="R22" s="4">
        <v>0</v>
      </c>
      <c r="S22" s="4">
        <v>0</v>
      </c>
      <c r="T22" s="23">
        <v>2.5</v>
      </c>
      <c r="U22" s="23">
        <v>1.8640000000000001</v>
      </c>
      <c r="V22" s="5" t="s">
        <v>268</v>
      </c>
      <c r="W22" s="4">
        <v>3777</v>
      </c>
      <c r="X22" s="4">
        <v>10000</v>
      </c>
      <c r="Y22" s="9">
        <v>42990</v>
      </c>
      <c r="Z22" s="9">
        <v>45153</v>
      </c>
      <c r="AA22" s="2"/>
      <c r="AB22" s="69" t="s">
        <v>3892</v>
      </c>
      <c r="AC22" s="5" t="s">
        <v>4178</v>
      </c>
      <c r="AD22" s="2"/>
      <c r="AE22" s="6"/>
      <c r="AF22" s="23"/>
      <c r="AG22" s="6"/>
      <c r="AH22" s="5" t="s">
        <v>2</v>
      </c>
      <c r="AI22" s="5" t="s">
        <v>3893</v>
      </c>
      <c r="AJ22" s="5" t="s">
        <v>3649</v>
      </c>
      <c r="AK22" s="21" t="s">
        <v>2</v>
      </c>
      <c r="AL22" s="72" t="s">
        <v>3894</v>
      </c>
      <c r="AM22" s="54" t="s">
        <v>4179</v>
      </c>
      <c r="AN22" s="34" t="s">
        <v>2534</v>
      </c>
    </row>
    <row r="23" spans="2:40" x14ac:dyDescent="0.3">
      <c r="B23" s="7" t="s">
        <v>2744</v>
      </c>
      <c r="C23" s="1" t="s">
        <v>2744</v>
      </c>
      <c r="D23" s="8" t="s">
        <v>2744</v>
      </c>
      <c r="E23" s="1" t="s">
        <v>2744</v>
      </c>
      <c r="F23" s="1" t="s">
        <v>2744</v>
      </c>
      <c r="G23" s="1" t="s">
        <v>2744</v>
      </c>
      <c r="H23" s="1" t="s">
        <v>2744</v>
      </c>
      <c r="I23" s="1" t="s">
        <v>2744</v>
      </c>
      <c r="J23" s="1" t="s">
        <v>2744</v>
      </c>
      <c r="K23" s="1" t="s">
        <v>2744</v>
      </c>
      <c r="L23" s="1" t="s">
        <v>2744</v>
      </c>
      <c r="M23" s="1" t="s">
        <v>2744</v>
      </c>
      <c r="N23" s="1" t="s">
        <v>2744</v>
      </c>
      <c r="O23" s="1" t="s">
        <v>2744</v>
      </c>
      <c r="P23" s="1" t="s">
        <v>2744</v>
      </c>
      <c r="Q23" s="1" t="s">
        <v>2744</v>
      </c>
      <c r="R23" s="1" t="s">
        <v>2744</v>
      </c>
      <c r="S23" s="1" t="s">
        <v>2744</v>
      </c>
      <c r="T23" s="1" t="s">
        <v>2744</v>
      </c>
      <c r="U23" s="1" t="s">
        <v>2744</v>
      </c>
      <c r="V23" s="1" t="s">
        <v>2744</v>
      </c>
      <c r="W23" s="1" t="s">
        <v>2744</v>
      </c>
      <c r="X23" s="1" t="s">
        <v>2744</v>
      </c>
      <c r="Y23" s="1" t="s">
        <v>2744</v>
      </c>
      <c r="Z23" s="1" t="s">
        <v>2744</v>
      </c>
      <c r="AA23" s="1" t="s">
        <v>2744</v>
      </c>
      <c r="AB23" s="1" t="s">
        <v>2744</v>
      </c>
      <c r="AC23" s="1" t="s">
        <v>2744</v>
      </c>
      <c r="AD23" s="1" t="s">
        <v>2744</v>
      </c>
      <c r="AE23" s="1" t="s">
        <v>2744</v>
      </c>
      <c r="AF23" s="1" t="s">
        <v>2744</v>
      </c>
      <c r="AG23" s="1" t="s">
        <v>2744</v>
      </c>
      <c r="AH23" s="1" t="s">
        <v>2744</v>
      </c>
      <c r="AI23" s="1" t="s">
        <v>2744</v>
      </c>
      <c r="AJ23" s="1" t="s">
        <v>2744</v>
      </c>
      <c r="AK23" s="1" t="s">
        <v>2744</v>
      </c>
      <c r="AL23" s="1" t="s">
        <v>2744</v>
      </c>
      <c r="AM23" s="1" t="s">
        <v>2744</v>
      </c>
      <c r="AN23" s="1" t="s">
        <v>2744</v>
      </c>
    </row>
    <row r="24" spans="2:40" ht="42" x14ac:dyDescent="0.3">
      <c r="B24" s="19" t="s">
        <v>1624</v>
      </c>
      <c r="C24" s="17" t="s">
        <v>4184</v>
      </c>
      <c r="D24" s="16"/>
      <c r="E24" s="2"/>
      <c r="F24" s="2"/>
      <c r="G24" s="2"/>
      <c r="H24" s="2"/>
      <c r="I24" s="2"/>
      <c r="J24" s="2"/>
      <c r="K24" s="3">
        <f>SUM(GMIC_22A_SCDPT1!SCDPT1_001BEGINNG_7:GMIC_22A_SCDPT1!SCDPT1_001ENDINGG_7)</f>
        <v>26001134</v>
      </c>
      <c r="L24" s="2"/>
      <c r="M24" s="3">
        <f>SUM(GMIC_22A_SCDPT1!SCDPT1_001BEGINNG_9:GMIC_22A_SCDPT1!SCDPT1_001ENDINGG_9)</f>
        <v>24967761</v>
      </c>
      <c r="N24" s="3">
        <f>SUM(GMIC_22A_SCDPT1!SCDPT1_001BEGINNG_10:GMIC_22A_SCDPT1!SCDPT1_001ENDINGG_10)</f>
        <v>25860000</v>
      </c>
      <c r="O24" s="3">
        <f>SUM(GMIC_22A_SCDPT1!SCDPT1_001BEGINNG_11:GMIC_22A_SCDPT1!SCDPT1_001ENDINGG_11)</f>
        <v>25870178</v>
      </c>
      <c r="P24" s="3">
        <f>SUM(GMIC_22A_SCDPT1!SCDPT1_001BEGINNG_12:GMIC_22A_SCDPT1!SCDPT1_001ENDINGG_12)</f>
        <v>0</v>
      </c>
      <c r="Q24" s="3">
        <f>SUM(GMIC_22A_SCDPT1!SCDPT1_001BEGINNG_13:GMIC_22A_SCDPT1!SCDPT1_001ENDINGG_13)</f>
        <v>-26118</v>
      </c>
      <c r="R24" s="3">
        <f>SUM(GMIC_22A_SCDPT1!SCDPT1_001BEGINNG_14:GMIC_22A_SCDPT1!SCDPT1_001ENDINGG_14)</f>
        <v>0</v>
      </c>
      <c r="S24" s="3">
        <f>SUM(GMIC_22A_SCDPT1!SCDPT1_001BEGINNG_15:GMIC_22A_SCDPT1!SCDPT1_001ENDINGG_15)</f>
        <v>0</v>
      </c>
      <c r="T24" s="2"/>
      <c r="U24" s="2"/>
      <c r="V24" s="2"/>
      <c r="W24" s="3">
        <f>SUM(GMIC_22A_SCDPT1!SCDPT1_001BEGINNG_19:GMIC_22A_SCDPT1!SCDPT1_001ENDINGG_19)</f>
        <v>142517</v>
      </c>
      <c r="X24" s="3">
        <f>SUM(GMIC_22A_SCDPT1!SCDPT1_001BEGINNG_20:GMIC_22A_SCDPT1!SCDPT1_001ENDINGG_20)</f>
        <v>562613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2:40" x14ac:dyDescent="0.3">
      <c r="B25" s="7" t="s">
        <v>2744</v>
      </c>
      <c r="C25" s="1" t="s">
        <v>2744</v>
      </c>
      <c r="D25" s="8" t="s">
        <v>2744</v>
      </c>
      <c r="E25" s="1" t="s">
        <v>2744</v>
      </c>
      <c r="F25" s="1" t="s">
        <v>2744</v>
      </c>
      <c r="G25" s="1" t="s">
        <v>2744</v>
      </c>
      <c r="H25" s="1" t="s">
        <v>2744</v>
      </c>
      <c r="I25" s="1" t="s">
        <v>2744</v>
      </c>
      <c r="J25" s="1" t="s">
        <v>2744</v>
      </c>
      <c r="K25" s="1" t="s">
        <v>2744</v>
      </c>
      <c r="L25" s="1" t="s">
        <v>2744</v>
      </c>
      <c r="M25" s="1" t="s">
        <v>2744</v>
      </c>
      <c r="N25" s="1" t="s">
        <v>2744</v>
      </c>
      <c r="O25" s="1" t="s">
        <v>2744</v>
      </c>
      <c r="P25" s="1" t="s">
        <v>2744</v>
      </c>
      <c r="Q25" s="1" t="s">
        <v>2744</v>
      </c>
      <c r="R25" s="1" t="s">
        <v>2744</v>
      </c>
      <c r="S25" s="1" t="s">
        <v>2744</v>
      </c>
      <c r="T25" s="1" t="s">
        <v>2744</v>
      </c>
      <c r="U25" s="1" t="s">
        <v>2744</v>
      </c>
      <c r="V25" s="1" t="s">
        <v>2744</v>
      </c>
      <c r="W25" s="1" t="s">
        <v>2744</v>
      </c>
      <c r="X25" s="1" t="s">
        <v>2744</v>
      </c>
      <c r="Y25" s="1" t="s">
        <v>2744</v>
      </c>
      <c r="Z25" s="1" t="s">
        <v>2744</v>
      </c>
      <c r="AA25" s="1" t="s">
        <v>2744</v>
      </c>
      <c r="AB25" s="1" t="s">
        <v>2744</v>
      </c>
      <c r="AC25" s="1" t="s">
        <v>2744</v>
      </c>
      <c r="AD25" s="1" t="s">
        <v>2744</v>
      </c>
      <c r="AE25" s="1" t="s">
        <v>2744</v>
      </c>
      <c r="AF25" s="1" t="s">
        <v>2744</v>
      </c>
      <c r="AG25" s="1" t="s">
        <v>2744</v>
      </c>
      <c r="AH25" s="1" t="s">
        <v>2744</v>
      </c>
      <c r="AI25" s="1" t="s">
        <v>2744</v>
      </c>
      <c r="AJ25" s="1" t="s">
        <v>2744</v>
      </c>
      <c r="AK25" s="1" t="s">
        <v>2744</v>
      </c>
      <c r="AL25" s="1" t="s">
        <v>2744</v>
      </c>
      <c r="AM25" s="1" t="s">
        <v>2744</v>
      </c>
      <c r="AN25" s="1" t="s">
        <v>2744</v>
      </c>
    </row>
    <row r="26" spans="2:40" x14ac:dyDescent="0.3">
      <c r="B26" s="18" t="s">
        <v>3</v>
      </c>
      <c r="C26" s="25" t="s">
        <v>3897</v>
      </c>
      <c r="D26" s="15" t="s">
        <v>2</v>
      </c>
      <c r="E26" s="37" t="s">
        <v>2</v>
      </c>
      <c r="F26" s="20" t="s">
        <v>2</v>
      </c>
      <c r="G26" s="40" t="s">
        <v>2</v>
      </c>
      <c r="H26" s="32" t="s">
        <v>2</v>
      </c>
      <c r="I26" s="33" t="s">
        <v>2</v>
      </c>
      <c r="J26" s="38" t="s">
        <v>2</v>
      </c>
      <c r="K26" s="4"/>
      <c r="L26" s="41"/>
      <c r="M26" s="4"/>
      <c r="N26" s="4"/>
      <c r="O26" s="4"/>
      <c r="P26" s="4"/>
      <c r="Q26" s="4"/>
      <c r="R26" s="4"/>
      <c r="S26" s="4"/>
      <c r="T26" s="23"/>
      <c r="U26" s="23"/>
      <c r="V26" s="5" t="s">
        <v>2</v>
      </c>
      <c r="W26" s="4"/>
      <c r="X26" s="4"/>
      <c r="Y26" s="6"/>
      <c r="Z26" s="6"/>
      <c r="AA26" s="2"/>
      <c r="AB26" s="31" t="s">
        <v>2</v>
      </c>
      <c r="AC26" s="5" t="s">
        <v>2</v>
      </c>
      <c r="AD26" s="43" t="s">
        <v>2</v>
      </c>
      <c r="AE26" s="6"/>
      <c r="AF26" s="23"/>
      <c r="AG26" s="6"/>
      <c r="AH26" s="5" t="s">
        <v>2</v>
      </c>
      <c r="AI26" s="5" t="s">
        <v>2</v>
      </c>
      <c r="AJ26" s="5" t="s">
        <v>2</v>
      </c>
      <c r="AK26" s="21" t="s">
        <v>2</v>
      </c>
      <c r="AL26" s="39" t="s">
        <v>2</v>
      </c>
      <c r="AM26" s="26" t="s">
        <v>2</v>
      </c>
      <c r="AN26" s="34" t="s">
        <v>2</v>
      </c>
    </row>
    <row r="27" spans="2:40" x14ac:dyDescent="0.3">
      <c r="B27" s="7" t="s">
        <v>2744</v>
      </c>
      <c r="C27" s="1" t="s">
        <v>2744</v>
      </c>
      <c r="D27" s="8" t="s">
        <v>2744</v>
      </c>
      <c r="E27" s="1" t="s">
        <v>2744</v>
      </c>
      <c r="F27" s="1" t="s">
        <v>2744</v>
      </c>
      <c r="G27" s="1" t="s">
        <v>2744</v>
      </c>
      <c r="H27" s="1" t="s">
        <v>2744</v>
      </c>
      <c r="I27" s="1" t="s">
        <v>2744</v>
      </c>
      <c r="J27" s="1" t="s">
        <v>2744</v>
      </c>
      <c r="K27" s="1" t="s">
        <v>2744</v>
      </c>
      <c r="L27" s="1" t="s">
        <v>2744</v>
      </c>
      <c r="M27" s="1" t="s">
        <v>2744</v>
      </c>
      <c r="N27" s="1" t="s">
        <v>2744</v>
      </c>
      <c r="O27" s="1" t="s">
        <v>2744</v>
      </c>
      <c r="P27" s="1" t="s">
        <v>2744</v>
      </c>
      <c r="Q27" s="1" t="s">
        <v>2744</v>
      </c>
      <c r="R27" s="1" t="s">
        <v>2744</v>
      </c>
      <c r="S27" s="1" t="s">
        <v>2744</v>
      </c>
      <c r="T27" s="1" t="s">
        <v>2744</v>
      </c>
      <c r="U27" s="1" t="s">
        <v>2744</v>
      </c>
      <c r="V27" s="1" t="s">
        <v>2744</v>
      </c>
      <c r="W27" s="1" t="s">
        <v>2744</v>
      </c>
      <c r="X27" s="1" t="s">
        <v>2744</v>
      </c>
      <c r="Y27" s="1" t="s">
        <v>2744</v>
      </c>
      <c r="Z27" s="1" t="s">
        <v>2744</v>
      </c>
      <c r="AA27" s="1" t="s">
        <v>2744</v>
      </c>
      <c r="AB27" s="1" t="s">
        <v>2744</v>
      </c>
      <c r="AC27" s="1" t="s">
        <v>2744</v>
      </c>
      <c r="AD27" s="1" t="s">
        <v>2744</v>
      </c>
      <c r="AE27" s="1" t="s">
        <v>2744</v>
      </c>
      <c r="AF27" s="1" t="s">
        <v>2744</v>
      </c>
      <c r="AG27" s="1" t="s">
        <v>2744</v>
      </c>
      <c r="AH27" s="1" t="s">
        <v>2744</v>
      </c>
      <c r="AI27" s="1" t="s">
        <v>2744</v>
      </c>
      <c r="AJ27" s="1" t="s">
        <v>2744</v>
      </c>
      <c r="AK27" s="1" t="s">
        <v>2744</v>
      </c>
      <c r="AL27" s="1" t="s">
        <v>2744</v>
      </c>
      <c r="AM27" s="1" t="s">
        <v>2744</v>
      </c>
      <c r="AN27" s="1" t="s">
        <v>2744</v>
      </c>
    </row>
    <row r="28" spans="2:40" ht="42" x14ac:dyDescent="0.3">
      <c r="B28" s="19" t="s">
        <v>787</v>
      </c>
      <c r="C28" s="17" t="s">
        <v>788</v>
      </c>
      <c r="D28" s="16"/>
      <c r="E28" s="2"/>
      <c r="F28" s="2"/>
      <c r="G28" s="2"/>
      <c r="H28" s="2"/>
      <c r="I28" s="2"/>
      <c r="J28" s="2"/>
      <c r="K28" s="3">
        <f>SUM(GMIC_22A_SCDPT1!SCDPT1_002BEGINNG_7:GMIC_22A_SCDPT1!SCDPT1_002ENDINGG_7)</f>
        <v>0</v>
      </c>
      <c r="L28" s="2"/>
      <c r="M28" s="3">
        <f>SUM(GMIC_22A_SCDPT1!SCDPT1_002BEGINNG_9:GMIC_22A_SCDPT1!SCDPT1_002ENDINGG_9)</f>
        <v>0</v>
      </c>
      <c r="N28" s="3">
        <f>SUM(GMIC_22A_SCDPT1!SCDPT1_002BEGINNG_10:GMIC_22A_SCDPT1!SCDPT1_002ENDINGG_10)</f>
        <v>0</v>
      </c>
      <c r="O28" s="3">
        <f>SUM(GMIC_22A_SCDPT1!SCDPT1_002BEGINNG_11:GMIC_22A_SCDPT1!SCDPT1_002ENDINGG_11)</f>
        <v>0</v>
      </c>
      <c r="P28" s="3">
        <f>SUM(GMIC_22A_SCDPT1!SCDPT1_002BEGINNG_12:GMIC_22A_SCDPT1!SCDPT1_002ENDINGG_12)</f>
        <v>0</v>
      </c>
      <c r="Q28" s="3">
        <f>SUM(GMIC_22A_SCDPT1!SCDPT1_002BEGINNG_13:GMIC_22A_SCDPT1!SCDPT1_002ENDINGG_13)</f>
        <v>0</v>
      </c>
      <c r="R28" s="3">
        <f>SUM(GMIC_22A_SCDPT1!SCDPT1_002BEGINNG_14:GMIC_22A_SCDPT1!SCDPT1_002ENDINGG_14)</f>
        <v>0</v>
      </c>
      <c r="S28" s="3">
        <f>SUM(GMIC_22A_SCDPT1!SCDPT1_002BEGINNG_15:GMIC_22A_SCDPT1!SCDPT1_002ENDINGG_15)</f>
        <v>0</v>
      </c>
      <c r="T28" s="2"/>
      <c r="U28" s="2"/>
      <c r="V28" s="2"/>
      <c r="W28" s="3">
        <f>SUM(GMIC_22A_SCDPT1!SCDPT1_002BEGINNG_19:GMIC_22A_SCDPT1!SCDPT1_002ENDINGG_19)</f>
        <v>0</v>
      </c>
      <c r="X28" s="3">
        <f>SUM(GMIC_22A_SCDPT1!SCDPT1_002BEGINNG_20:GMIC_22A_SCDPT1!SCDPT1_002ENDINGG_20)</f>
        <v>0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2:40" x14ac:dyDescent="0.3">
      <c r="B29" s="7" t="s">
        <v>2744</v>
      </c>
      <c r="C29" s="1" t="s">
        <v>2744</v>
      </c>
      <c r="D29" s="8" t="s">
        <v>2744</v>
      </c>
      <c r="E29" s="1" t="s">
        <v>2744</v>
      </c>
      <c r="F29" s="1" t="s">
        <v>2744</v>
      </c>
      <c r="G29" s="1" t="s">
        <v>2744</v>
      </c>
      <c r="H29" s="1" t="s">
        <v>2744</v>
      </c>
      <c r="I29" s="1" t="s">
        <v>2744</v>
      </c>
      <c r="J29" s="1" t="s">
        <v>2744</v>
      </c>
      <c r="K29" s="1" t="s">
        <v>2744</v>
      </c>
      <c r="L29" s="1" t="s">
        <v>2744</v>
      </c>
      <c r="M29" s="1" t="s">
        <v>2744</v>
      </c>
      <c r="N29" s="1" t="s">
        <v>2744</v>
      </c>
      <c r="O29" s="1" t="s">
        <v>2744</v>
      </c>
      <c r="P29" s="1" t="s">
        <v>2744</v>
      </c>
      <c r="Q29" s="1" t="s">
        <v>2744</v>
      </c>
      <c r="R29" s="1" t="s">
        <v>2744</v>
      </c>
      <c r="S29" s="1" t="s">
        <v>2744</v>
      </c>
      <c r="T29" s="1" t="s">
        <v>2744</v>
      </c>
      <c r="U29" s="1" t="s">
        <v>2744</v>
      </c>
      <c r="V29" s="1" t="s">
        <v>2744</v>
      </c>
      <c r="W29" s="1" t="s">
        <v>2744</v>
      </c>
      <c r="X29" s="1" t="s">
        <v>2744</v>
      </c>
      <c r="Y29" s="1" t="s">
        <v>2744</v>
      </c>
      <c r="Z29" s="1" t="s">
        <v>2744</v>
      </c>
      <c r="AA29" s="1" t="s">
        <v>2744</v>
      </c>
      <c r="AB29" s="1" t="s">
        <v>2744</v>
      </c>
      <c r="AC29" s="1" t="s">
        <v>2744</v>
      </c>
      <c r="AD29" s="1" t="s">
        <v>2744</v>
      </c>
      <c r="AE29" s="1" t="s">
        <v>2744</v>
      </c>
      <c r="AF29" s="1" t="s">
        <v>2744</v>
      </c>
      <c r="AG29" s="1" t="s">
        <v>2744</v>
      </c>
      <c r="AH29" s="1" t="s">
        <v>2744</v>
      </c>
      <c r="AI29" s="1" t="s">
        <v>2744</v>
      </c>
      <c r="AJ29" s="1" t="s">
        <v>2744</v>
      </c>
      <c r="AK29" s="1" t="s">
        <v>2744</v>
      </c>
      <c r="AL29" s="1" t="s">
        <v>2744</v>
      </c>
      <c r="AM29" s="1" t="s">
        <v>2744</v>
      </c>
      <c r="AN29" s="1" t="s">
        <v>2744</v>
      </c>
    </row>
    <row r="30" spans="2:40" x14ac:dyDescent="0.3">
      <c r="B30" s="18" t="s">
        <v>3650</v>
      </c>
      <c r="C30" s="25" t="s">
        <v>3897</v>
      </c>
      <c r="D30" s="15" t="s">
        <v>2</v>
      </c>
      <c r="E30" s="37" t="s">
        <v>2</v>
      </c>
      <c r="F30" s="20" t="s">
        <v>2</v>
      </c>
      <c r="G30" s="40" t="s">
        <v>2</v>
      </c>
      <c r="H30" s="32" t="s">
        <v>2</v>
      </c>
      <c r="I30" s="33" t="s">
        <v>2</v>
      </c>
      <c r="J30" s="38" t="s">
        <v>2</v>
      </c>
      <c r="K30" s="4"/>
      <c r="L30" s="41"/>
      <c r="M30" s="4"/>
      <c r="N30" s="4"/>
      <c r="O30" s="4"/>
      <c r="P30" s="4"/>
      <c r="Q30" s="4"/>
      <c r="R30" s="4"/>
      <c r="S30" s="4"/>
      <c r="T30" s="23"/>
      <c r="U30" s="23"/>
      <c r="V30" s="5" t="s">
        <v>2</v>
      </c>
      <c r="W30" s="4"/>
      <c r="X30" s="4"/>
      <c r="Y30" s="6"/>
      <c r="Z30" s="6"/>
      <c r="AA30" s="2"/>
      <c r="AB30" s="31" t="s">
        <v>2</v>
      </c>
      <c r="AC30" s="5" t="s">
        <v>2</v>
      </c>
      <c r="AD30" s="43" t="s">
        <v>2</v>
      </c>
      <c r="AE30" s="6"/>
      <c r="AF30" s="23"/>
      <c r="AG30" s="6"/>
      <c r="AH30" s="5" t="s">
        <v>2</v>
      </c>
      <c r="AI30" s="5" t="s">
        <v>2</v>
      </c>
      <c r="AJ30" s="5" t="s">
        <v>2</v>
      </c>
      <c r="AK30" s="21" t="s">
        <v>2</v>
      </c>
      <c r="AL30" s="39" t="s">
        <v>2</v>
      </c>
      <c r="AM30" s="26" t="s">
        <v>2</v>
      </c>
      <c r="AN30" s="34" t="s">
        <v>2</v>
      </c>
    </row>
    <row r="31" spans="2:40" x14ac:dyDescent="0.3">
      <c r="B31" s="7" t="s">
        <v>2744</v>
      </c>
      <c r="C31" s="1" t="s">
        <v>2744</v>
      </c>
      <c r="D31" s="8" t="s">
        <v>2744</v>
      </c>
      <c r="E31" s="1" t="s">
        <v>2744</v>
      </c>
      <c r="F31" s="1" t="s">
        <v>2744</v>
      </c>
      <c r="G31" s="1" t="s">
        <v>2744</v>
      </c>
      <c r="H31" s="1" t="s">
        <v>2744</v>
      </c>
      <c r="I31" s="1" t="s">
        <v>2744</v>
      </c>
      <c r="J31" s="1" t="s">
        <v>2744</v>
      </c>
      <c r="K31" s="1" t="s">
        <v>2744</v>
      </c>
      <c r="L31" s="1" t="s">
        <v>2744</v>
      </c>
      <c r="M31" s="1" t="s">
        <v>2744</v>
      </c>
      <c r="N31" s="1" t="s">
        <v>2744</v>
      </c>
      <c r="O31" s="1" t="s">
        <v>2744</v>
      </c>
      <c r="P31" s="1" t="s">
        <v>2744</v>
      </c>
      <c r="Q31" s="1" t="s">
        <v>2744</v>
      </c>
      <c r="R31" s="1" t="s">
        <v>2744</v>
      </c>
      <c r="S31" s="1" t="s">
        <v>2744</v>
      </c>
      <c r="T31" s="1" t="s">
        <v>2744</v>
      </c>
      <c r="U31" s="1" t="s">
        <v>2744</v>
      </c>
      <c r="V31" s="1" t="s">
        <v>2744</v>
      </c>
      <c r="W31" s="1" t="s">
        <v>2744</v>
      </c>
      <c r="X31" s="1" t="s">
        <v>2744</v>
      </c>
      <c r="Y31" s="1" t="s">
        <v>2744</v>
      </c>
      <c r="Z31" s="1" t="s">
        <v>2744</v>
      </c>
      <c r="AA31" s="1" t="s">
        <v>2744</v>
      </c>
      <c r="AB31" s="1" t="s">
        <v>2744</v>
      </c>
      <c r="AC31" s="1" t="s">
        <v>2744</v>
      </c>
      <c r="AD31" s="1" t="s">
        <v>2744</v>
      </c>
      <c r="AE31" s="1" t="s">
        <v>2744</v>
      </c>
      <c r="AF31" s="1" t="s">
        <v>2744</v>
      </c>
      <c r="AG31" s="1" t="s">
        <v>2744</v>
      </c>
      <c r="AH31" s="1" t="s">
        <v>2744</v>
      </c>
      <c r="AI31" s="1" t="s">
        <v>2744</v>
      </c>
      <c r="AJ31" s="1" t="s">
        <v>2744</v>
      </c>
      <c r="AK31" s="1" t="s">
        <v>2744</v>
      </c>
      <c r="AL31" s="1" t="s">
        <v>2744</v>
      </c>
      <c r="AM31" s="1" t="s">
        <v>2744</v>
      </c>
      <c r="AN31" s="1" t="s">
        <v>2744</v>
      </c>
    </row>
    <row r="32" spans="2:40" ht="42" x14ac:dyDescent="0.3">
      <c r="B32" s="19" t="s">
        <v>4</v>
      </c>
      <c r="C32" s="17" t="s">
        <v>1162</v>
      </c>
      <c r="D32" s="16"/>
      <c r="E32" s="2"/>
      <c r="F32" s="2"/>
      <c r="G32" s="2"/>
      <c r="H32" s="2"/>
      <c r="I32" s="2"/>
      <c r="J32" s="2"/>
      <c r="K32" s="3">
        <f>SUM(GMIC_22A_SCDPT1!SCDPT1_003BEGINNG_7:GMIC_22A_SCDPT1!SCDPT1_003ENDINGG_7)</f>
        <v>0</v>
      </c>
      <c r="L32" s="2"/>
      <c r="M32" s="3">
        <f>SUM(GMIC_22A_SCDPT1!SCDPT1_003BEGINNG_9:GMIC_22A_SCDPT1!SCDPT1_003ENDINGG_9)</f>
        <v>0</v>
      </c>
      <c r="N32" s="3">
        <f>SUM(GMIC_22A_SCDPT1!SCDPT1_003BEGINNG_10:GMIC_22A_SCDPT1!SCDPT1_003ENDINGG_10)</f>
        <v>0</v>
      </c>
      <c r="O32" s="3">
        <f>SUM(GMIC_22A_SCDPT1!SCDPT1_003BEGINNG_11:GMIC_22A_SCDPT1!SCDPT1_003ENDINGG_11)</f>
        <v>0</v>
      </c>
      <c r="P32" s="3">
        <f>SUM(GMIC_22A_SCDPT1!SCDPT1_003BEGINNG_12:GMIC_22A_SCDPT1!SCDPT1_003ENDINGG_12)</f>
        <v>0</v>
      </c>
      <c r="Q32" s="3">
        <f>SUM(GMIC_22A_SCDPT1!SCDPT1_003BEGINNG_13:GMIC_22A_SCDPT1!SCDPT1_003ENDINGG_13)</f>
        <v>0</v>
      </c>
      <c r="R32" s="3">
        <f>SUM(GMIC_22A_SCDPT1!SCDPT1_003BEGINNG_14:GMIC_22A_SCDPT1!SCDPT1_003ENDINGG_14)</f>
        <v>0</v>
      </c>
      <c r="S32" s="3">
        <f>SUM(GMIC_22A_SCDPT1!SCDPT1_003BEGINNG_15:GMIC_22A_SCDPT1!SCDPT1_003ENDINGG_15)</f>
        <v>0</v>
      </c>
      <c r="T32" s="2"/>
      <c r="U32" s="2"/>
      <c r="V32" s="2"/>
      <c r="W32" s="3">
        <f>SUM(GMIC_22A_SCDPT1!SCDPT1_003BEGINNG_19:GMIC_22A_SCDPT1!SCDPT1_003ENDINGG_19)</f>
        <v>0</v>
      </c>
      <c r="X32" s="3">
        <f>SUM(GMIC_22A_SCDPT1!SCDPT1_003BEGINNG_20:GMIC_22A_SCDPT1!SCDPT1_003ENDINGG_20)</f>
        <v>0</v>
      </c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2:40" x14ac:dyDescent="0.3">
      <c r="B33" s="7" t="s">
        <v>2744</v>
      </c>
      <c r="C33" s="1" t="s">
        <v>2744</v>
      </c>
      <c r="D33" s="8" t="s">
        <v>2744</v>
      </c>
      <c r="E33" s="1" t="s">
        <v>2744</v>
      </c>
      <c r="F33" s="1" t="s">
        <v>2744</v>
      </c>
      <c r="G33" s="1" t="s">
        <v>2744</v>
      </c>
      <c r="H33" s="1" t="s">
        <v>2744</v>
      </c>
      <c r="I33" s="1" t="s">
        <v>2744</v>
      </c>
      <c r="J33" s="1" t="s">
        <v>2744</v>
      </c>
      <c r="K33" s="1" t="s">
        <v>2744</v>
      </c>
      <c r="L33" s="1" t="s">
        <v>2744</v>
      </c>
      <c r="M33" s="1" t="s">
        <v>2744</v>
      </c>
      <c r="N33" s="1" t="s">
        <v>2744</v>
      </c>
      <c r="O33" s="1" t="s">
        <v>2744</v>
      </c>
      <c r="P33" s="1" t="s">
        <v>2744</v>
      </c>
      <c r="Q33" s="1" t="s">
        <v>2744</v>
      </c>
      <c r="R33" s="1" t="s">
        <v>2744</v>
      </c>
      <c r="S33" s="1" t="s">
        <v>2744</v>
      </c>
      <c r="T33" s="1" t="s">
        <v>2744</v>
      </c>
      <c r="U33" s="1" t="s">
        <v>2744</v>
      </c>
      <c r="V33" s="1" t="s">
        <v>2744</v>
      </c>
      <c r="W33" s="1" t="s">
        <v>2744</v>
      </c>
      <c r="X33" s="1" t="s">
        <v>2744</v>
      </c>
      <c r="Y33" s="1" t="s">
        <v>2744</v>
      </c>
      <c r="Z33" s="1" t="s">
        <v>2744</v>
      </c>
      <c r="AA33" s="1" t="s">
        <v>2744</v>
      </c>
      <c r="AB33" s="1" t="s">
        <v>2744</v>
      </c>
      <c r="AC33" s="1" t="s">
        <v>2744</v>
      </c>
      <c r="AD33" s="1" t="s">
        <v>2744</v>
      </c>
      <c r="AE33" s="1" t="s">
        <v>2744</v>
      </c>
      <c r="AF33" s="1" t="s">
        <v>2744</v>
      </c>
      <c r="AG33" s="1" t="s">
        <v>2744</v>
      </c>
      <c r="AH33" s="1" t="s">
        <v>2744</v>
      </c>
      <c r="AI33" s="1" t="s">
        <v>2744</v>
      </c>
      <c r="AJ33" s="1" t="s">
        <v>2744</v>
      </c>
      <c r="AK33" s="1" t="s">
        <v>2744</v>
      </c>
      <c r="AL33" s="1" t="s">
        <v>2744</v>
      </c>
      <c r="AM33" s="1" t="s">
        <v>2744</v>
      </c>
      <c r="AN33" s="1" t="s">
        <v>2744</v>
      </c>
    </row>
    <row r="34" spans="2:40" x14ac:dyDescent="0.3">
      <c r="B34" s="18" t="s">
        <v>2746</v>
      </c>
      <c r="C34" s="25" t="s">
        <v>3897</v>
      </c>
      <c r="D34" s="15" t="s">
        <v>2</v>
      </c>
      <c r="E34" s="37" t="s">
        <v>2</v>
      </c>
      <c r="F34" s="20" t="s">
        <v>2</v>
      </c>
      <c r="G34" s="40" t="s">
        <v>2</v>
      </c>
      <c r="H34" s="32" t="s">
        <v>2</v>
      </c>
      <c r="I34" s="33" t="s">
        <v>2</v>
      </c>
      <c r="J34" s="38" t="s">
        <v>2</v>
      </c>
      <c r="K34" s="4"/>
      <c r="L34" s="41"/>
      <c r="M34" s="4"/>
      <c r="N34" s="4"/>
      <c r="O34" s="4"/>
      <c r="P34" s="4"/>
      <c r="Q34" s="4"/>
      <c r="R34" s="4"/>
      <c r="S34" s="4"/>
      <c r="T34" s="23"/>
      <c r="U34" s="23"/>
      <c r="V34" s="5" t="s">
        <v>2</v>
      </c>
      <c r="W34" s="4"/>
      <c r="X34" s="4"/>
      <c r="Y34" s="10"/>
      <c r="Z34" s="10"/>
      <c r="AA34" s="2"/>
      <c r="AB34" s="31" t="s">
        <v>2</v>
      </c>
      <c r="AC34" s="5" t="s">
        <v>2</v>
      </c>
      <c r="AD34" s="43" t="s">
        <v>2</v>
      </c>
      <c r="AE34" s="10"/>
      <c r="AF34" s="23"/>
      <c r="AG34" s="10"/>
      <c r="AH34" s="5" t="s">
        <v>2</v>
      </c>
      <c r="AI34" s="5" t="s">
        <v>2</v>
      </c>
      <c r="AJ34" s="5" t="s">
        <v>2</v>
      </c>
      <c r="AK34" s="21" t="s">
        <v>2</v>
      </c>
      <c r="AL34" s="39" t="s">
        <v>2</v>
      </c>
      <c r="AM34" s="26" t="s">
        <v>2</v>
      </c>
      <c r="AN34" s="34" t="s">
        <v>2</v>
      </c>
    </row>
    <row r="35" spans="2:40" x14ac:dyDescent="0.3">
      <c r="B35" s="7" t="s">
        <v>2744</v>
      </c>
      <c r="C35" s="1" t="s">
        <v>2744</v>
      </c>
      <c r="D35" s="8" t="s">
        <v>2744</v>
      </c>
      <c r="E35" s="1" t="s">
        <v>2744</v>
      </c>
      <c r="F35" s="1" t="s">
        <v>2744</v>
      </c>
      <c r="G35" s="1" t="s">
        <v>2744</v>
      </c>
      <c r="H35" s="1" t="s">
        <v>2744</v>
      </c>
      <c r="I35" s="1" t="s">
        <v>2744</v>
      </c>
      <c r="J35" s="1" t="s">
        <v>2744</v>
      </c>
      <c r="K35" s="1" t="s">
        <v>2744</v>
      </c>
      <c r="L35" s="1" t="s">
        <v>2744</v>
      </c>
      <c r="M35" s="1" t="s">
        <v>2744</v>
      </c>
      <c r="N35" s="1" t="s">
        <v>2744</v>
      </c>
      <c r="O35" s="1" t="s">
        <v>2744</v>
      </c>
      <c r="P35" s="1" t="s">
        <v>2744</v>
      </c>
      <c r="Q35" s="1" t="s">
        <v>2744</v>
      </c>
      <c r="R35" s="1" t="s">
        <v>2744</v>
      </c>
      <c r="S35" s="1" t="s">
        <v>2744</v>
      </c>
      <c r="T35" s="1" t="s">
        <v>2744</v>
      </c>
      <c r="U35" s="1" t="s">
        <v>2744</v>
      </c>
      <c r="V35" s="1" t="s">
        <v>2744</v>
      </c>
      <c r="W35" s="1" t="s">
        <v>2744</v>
      </c>
      <c r="X35" s="1" t="s">
        <v>2744</v>
      </c>
      <c r="Y35" s="22" t="s">
        <v>2744</v>
      </c>
      <c r="Z35" s="22" t="s">
        <v>2744</v>
      </c>
      <c r="AA35" s="1" t="s">
        <v>2744</v>
      </c>
      <c r="AB35" s="1" t="s">
        <v>2744</v>
      </c>
      <c r="AC35" s="1" t="s">
        <v>2744</v>
      </c>
      <c r="AD35" s="1" t="s">
        <v>2744</v>
      </c>
      <c r="AE35" s="22" t="s">
        <v>2744</v>
      </c>
      <c r="AF35" s="1" t="s">
        <v>2744</v>
      </c>
      <c r="AG35" s="1" t="s">
        <v>2744</v>
      </c>
      <c r="AH35" s="1" t="s">
        <v>2744</v>
      </c>
      <c r="AI35" s="1" t="s">
        <v>2744</v>
      </c>
      <c r="AJ35" s="1" t="s">
        <v>2744</v>
      </c>
      <c r="AK35" s="1" t="s">
        <v>2744</v>
      </c>
      <c r="AL35" s="1" t="s">
        <v>2744</v>
      </c>
      <c r="AM35" s="1" t="s">
        <v>2744</v>
      </c>
      <c r="AN35" s="1" t="s">
        <v>2744</v>
      </c>
    </row>
    <row r="36" spans="2:40" ht="56" x14ac:dyDescent="0.3">
      <c r="B36" s="19" t="s">
        <v>3651</v>
      </c>
      <c r="C36" s="17" t="s">
        <v>1919</v>
      </c>
      <c r="D36" s="16"/>
      <c r="E36" s="2"/>
      <c r="F36" s="2"/>
      <c r="G36" s="2"/>
      <c r="H36" s="2"/>
      <c r="I36" s="2"/>
      <c r="J36" s="2"/>
      <c r="K36" s="3">
        <f>SUM(GMIC_22A_SCDPT1!SCDPT1_004BEGINNG_7:GMIC_22A_SCDPT1!SCDPT1_004ENDINGG_7)</f>
        <v>0</v>
      </c>
      <c r="L36" s="2"/>
      <c r="M36" s="3">
        <f>SUM(GMIC_22A_SCDPT1!SCDPT1_004BEGINNG_9:GMIC_22A_SCDPT1!SCDPT1_004ENDINGG_9)</f>
        <v>0</v>
      </c>
      <c r="N36" s="3">
        <f>SUM(GMIC_22A_SCDPT1!SCDPT1_004BEGINNG_10:GMIC_22A_SCDPT1!SCDPT1_004ENDINGG_10)</f>
        <v>0</v>
      </c>
      <c r="O36" s="3">
        <f>SUM(GMIC_22A_SCDPT1!SCDPT1_004BEGINNG_11:GMIC_22A_SCDPT1!SCDPT1_004ENDINGG_11)</f>
        <v>0</v>
      </c>
      <c r="P36" s="3">
        <f>SUM(GMIC_22A_SCDPT1!SCDPT1_004BEGINNG_12:GMIC_22A_SCDPT1!SCDPT1_004ENDINGG_12)</f>
        <v>0</v>
      </c>
      <c r="Q36" s="3">
        <f>SUM(GMIC_22A_SCDPT1!SCDPT1_004BEGINNG_13:GMIC_22A_SCDPT1!SCDPT1_004ENDINGG_13)</f>
        <v>0</v>
      </c>
      <c r="R36" s="3">
        <f>SUM(GMIC_22A_SCDPT1!SCDPT1_004BEGINNG_14:GMIC_22A_SCDPT1!SCDPT1_004ENDINGG_14)</f>
        <v>0</v>
      </c>
      <c r="S36" s="3">
        <f>SUM(GMIC_22A_SCDPT1!SCDPT1_004BEGINNG_15:GMIC_22A_SCDPT1!SCDPT1_004ENDINGG_15)</f>
        <v>0</v>
      </c>
      <c r="T36" s="2"/>
      <c r="U36" s="2"/>
      <c r="V36" s="2"/>
      <c r="W36" s="3">
        <f>SUM(GMIC_22A_SCDPT1!SCDPT1_004BEGINNG_19:GMIC_22A_SCDPT1!SCDPT1_004ENDINGG_19)</f>
        <v>0</v>
      </c>
      <c r="X36" s="3">
        <f>SUM(GMIC_22A_SCDPT1!SCDPT1_004BEGINNG_20:GMIC_22A_SCDPT1!SCDPT1_004ENDINGG_20)</f>
        <v>0</v>
      </c>
      <c r="Y36" s="29"/>
      <c r="Z36" s="29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2:40" ht="28" x14ac:dyDescent="0.3">
      <c r="B37" s="19" t="s">
        <v>2747</v>
      </c>
      <c r="C37" s="17" t="s">
        <v>1163</v>
      </c>
      <c r="D37" s="16"/>
      <c r="E37" s="2"/>
      <c r="F37" s="2"/>
      <c r="G37" s="2"/>
      <c r="H37" s="2"/>
      <c r="I37" s="2"/>
      <c r="J37" s="2"/>
      <c r="K37" s="3">
        <f>GMIC_22A_SCDPT1!SCDPT1_0019999999_7+GMIC_22A_SCDPT1!SCDPT1_0029999999_7+GMIC_22A_SCDPT1!SCDPT1_0039999999_7+GMIC_22A_SCDPT1!SCDPT1_0049999999_7</f>
        <v>26001134</v>
      </c>
      <c r="L37" s="2"/>
      <c r="M37" s="3">
        <f>GMIC_22A_SCDPT1!SCDPT1_0019999999_9+GMIC_22A_SCDPT1!SCDPT1_0029999999_9+GMIC_22A_SCDPT1!SCDPT1_0039999999_9+GMIC_22A_SCDPT1!SCDPT1_0049999999_9</f>
        <v>24967761</v>
      </c>
      <c r="N37" s="3">
        <f>GMIC_22A_SCDPT1!SCDPT1_0019999999_10+GMIC_22A_SCDPT1!SCDPT1_0029999999_10+GMIC_22A_SCDPT1!SCDPT1_0039999999_10+GMIC_22A_SCDPT1!SCDPT1_0049999999_10</f>
        <v>25860000</v>
      </c>
      <c r="O37" s="3">
        <f>GMIC_22A_SCDPT1!SCDPT1_0019999999_11+GMIC_22A_SCDPT1!SCDPT1_0029999999_11+GMIC_22A_SCDPT1!SCDPT1_0039999999_11+GMIC_22A_SCDPT1!SCDPT1_0049999999_11</f>
        <v>25870178</v>
      </c>
      <c r="P37" s="3">
        <f>GMIC_22A_SCDPT1!SCDPT1_0019999999_12+GMIC_22A_SCDPT1!SCDPT1_0029999999_12+GMIC_22A_SCDPT1!SCDPT1_0039999999_12+GMIC_22A_SCDPT1!SCDPT1_0049999999_12</f>
        <v>0</v>
      </c>
      <c r="Q37" s="3">
        <f>GMIC_22A_SCDPT1!SCDPT1_0019999999_13+GMIC_22A_SCDPT1!SCDPT1_0029999999_13+GMIC_22A_SCDPT1!SCDPT1_0039999999_13+GMIC_22A_SCDPT1!SCDPT1_0049999999_13</f>
        <v>-26118</v>
      </c>
      <c r="R37" s="3">
        <f>GMIC_22A_SCDPT1!SCDPT1_0019999999_14+GMIC_22A_SCDPT1!SCDPT1_0029999999_14+GMIC_22A_SCDPT1!SCDPT1_0039999999_14+GMIC_22A_SCDPT1!SCDPT1_0049999999_14</f>
        <v>0</v>
      </c>
      <c r="S37" s="3">
        <f>GMIC_22A_SCDPT1!SCDPT1_0019999999_15+GMIC_22A_SCDPT1!SCDPT1_0029999999_15+GMIC_22A_SCDPT1!SCDPT1_0039999999_15+GMIC_22A_SCDPT1!SCDPT1_0049999999_15</f>
        <v>0</v>
      </c>
      <c r="T37" s="2"/>
      <c r="U37" s="2"/>
      <c r="V37" s="2"/>
      <c r="W37" s="3">
        <f>GMIC_22A_SCDPT1!SCDPT1_0019999999_19+GMIC_22A_SCDPT1!SCDPT1_0029999999_19+GMIC_22A_SCDPT1!SCDPT1_0039999999_19+GMIC_22A_SCDPT1!SCDPT1_0049999999_19</f>
        <v>142517</v>
      </c>
      <c r="X37" s="3">
        <f>GMIC_22A_SCDPT1!SCDPT1_0019999999_20+GMIC_22A_SCDPT1!SCDPT1_0029999999_20+GMIC_22A_SCDPT1!SCDPT1_0039999999_20+GMIC_22A_SCDPT1!SCDPT1_0049999999_20</f>
        <v>562613</v>
      </c>
      <c r="Y37" s="29"/>
      <c r="Z37" s="29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2:40" x14ac:dyDescent="0.3">
      <c r="B38" s="7" t="s">
        <v>2744</v>
      </c>
      <c r="C38" s="1" t="s">
        <v>2744</v>
      </c>
      <c r="D38" s="8" t="s">
        <v>2744</v>
      </c>
      <c r="E38" s="1" t="s">
        <v>2744</v>
      </c>
      <c r="F38" s="1" t="s">
        <v>2744</v>
      </c>
      <c r="G38" s="1" t="s">
        <v>2744</v>
      </c>
      <c r="H38" s="1" t="s">
        <v>2744</v>
      </c>
      <c r="I38" s="1" t="s">
        <v>2744</v>
      </c>
      <c r="J38" s="1" t="s">
        <v>2744</v>
      </c>
      <c r="K38" s="1" t="s">
        <v>2744</v>
      </c>
      <c r="L38" s="1" t="s">
        <v>2744</v>
      </c>
      <c r="M38" s="1" t="s">
        <v>2744</v>
      </c>
      <c r="N38" s="1" t="s">
        <v>2744</v>
      </c>
      <c r="O38" s="1" t="s">
        <v>2744</v>
      </c>
      <c r="P38" s="1" t="s">
        <v>2744</v>
      </c>
      <c r="Q38" s="1" t="s">
        <v>2744</v>
      </c>
      <c r="R38" s="1" t="s">
        <v>2744</v>
      </c>
      <c r="S38" s="1" t="s">
        <v>2744</v>
      </c>
      <c r="T38" s="1" t="s">
        <v>2744</v>
      </c>
      <c r="U38" s="1" t="s">
        <v>2744</v>
      </c>
      <c r="V38" s="1" t="s">
        <v>2744</v>
      </c>
      <c r="W38" s="1" t="s">
        <v>2744</v>
      </c>
      <c r="X38" s="1" t="s">
        <v>2744</v>
      </c>
      <c r="Y38" s="22" t="s">
        <v>2744</v>
      </c>
      <c r="Z38" s="22" t="s">
        <v>2744</v>
      </c>
      <c r="AA38" s="1" t="s">
        <v>2744</v>
      </c>
      <c r="AB38" s="1" t="s">
        <v>2744</v>
      </c>
      <c r="AC38" s="1" t="s">
        <v>2744</v>
      </c>
      <c r="AD38" s="1" t="s">
        <v>2744</v>
      </c>
      <c r="AE38" s="22" t="s">
        <v>2744</v>
      </c>
      <c r="AF38" s="1" t="s">
        <v>2744</v>
      </c>
      <c r="AG38" s="1" t="s">
        <v>2744</v>
      </c>
      <c r="AH38" s="1" t="s">
        <v>2744</v>
      </c>
      <c r="AI38" s="1" t="s">
        <v>2744</v>
      </c>
      <c r="AJ38" s="1" t="s">
        <v>2744</v>
      </c>
      <c r="AK38" s="1" t="s">
        <v>2744</v>
      </c>
      <c r="AL38" s="1" t="s">
        <v>2744</v>
      </c>
      <c r="AM38" s="1" t="s">
        <v>2744</v>
      </c>
      <c r="AN38" s="1" t="s">
        <v>2744</v>
      </c>
    </row>
    <row r="39" spans="2:40" x14ac:dyDescent="0.3">
      <c r="B39" s="18" t="s">
        <v>1403</v>
      </c>
      <c r="C39" s="25" t="s">
        <v>3897</v>
      </c>
      <c r="D39" s="15" t="s">
        <v>2</v>
      </c>
      <c r="E39" s="37" t="s">
        <v>2</v>
      </c>
      <c r="F39" s="20" t="s">
        <v>2</v>
      </c>
      <c r="G39" s="40" t="s">
        <v>2</v>
      </c>
      <c r="H39" s="32" t="s">
        <v>2</v>
      </c>
      <c r="I39" s="33" t="s">
        <v>2</v>
      </c>
      <c r="J39" s="38" t="s">
        <v>2</v>
      </c>
      <c r="K39" s="4"/>
      <c r="L39" s="41"/>
      <c r="M39" s="4"/>
      <c r="N39" s="4"/>
      <c r="O39" s="4"/>
      <c r="P39" s="4"/>
      <c r="Q39" s="4"/>
      <c r="R39" s="4"/>
      <c r="S39" s="4"/>
      <c r="T39" s="23"/>
      <c r="U39" s="23"/>
      <c r="V39" s="5" t="s">
        <v>2</v>
      </c>
      <c r="W39" s="4"/>
      <c r="X39" s="4"/>
      <c r="Y39" s="10"/>
      <c r="Z39" s="10"/>
      <c r="AA39" s="2"/>
      <c r="AB39" s="31" t="s">
        <v>2</v>
      </c>
      <c r="AC39" s="5" t="s">
        <v>2</v>
      </c>
      <c r="AD39" s="2"/>
      <c r="AE39" s="10"/>
      <c r="AF39" s="23"/>
      <c r="AG39" s="6"/>
      <c r="AH39" s="5" t="s">
        <v>2</v>
      </c>
      <c r="AI39" s="5" t="s">
        <v>2</v>
      </c>
      <c r="AJ39" s="5" t="s">
        <v>2</v>
      </c>
      <c r="AK39" s="21" t="s">
        <v>2</v>
      </c>
      <c r="AL39" s="39" t="s">
        <v>2</v>
      </c>
      <c r="AM39" s="26" t="s">
        <v>2</v>
      </c>
      <c r="AN39" s="34" t="s">
        <v>2</v>
      </c>
    </row>
    <row r="40" spans="2:40" x14ac:dyDescent="0.3">
      <c r="B40" s="7" t="s">
        <v>2744</v>
      </c>
      <c r="C40" s="1" t="s">
        <v>2744</v>
      </c>
      <c r="D40" s="8" t="s">
        <v>2744</v>
      </c>
      <c r="E40" s="1" t="s">
        <v>2744</v>
      </c>
      <c r="F40" s="1" t="s">
        <v>2744</v>
      </c>
      <c r="G40" s="1" t="s">
        <v>2744</v>
      </c>
      <c r="H40" s="1" t="s">
        <v>2744</v>
      </c>
      <c r="I40" s="1" t="s">
        <v>2744</v>
      </c>
      <c r="J40" s="1" t="s">
        <v>2744</v>
      </c>
      <c r="K40" s="1" t="s">
        <v>2744</v>
      </c>
      <c r="L40" s="1" t="s">
        <v>2744</v>
      </c>
      <c r="M40" s="1" t="s">
        <v>2744</v>
      </c>
      <c r="N40" s="1" t="s">
        <v>2744</v>
      </c>
      <c r="O40" s="1" t="s">
        <v>2744</v>
      </c>
      <c r="P40" s="1" t="s">
        <v>2744</v>
      </c>
      <c r="Q40" s="1" t="s">
        <v>2744</v>
      </c>
      <c r="R40" s="1" t="s">
        <v>2744</v>
      </c>
      <c r="S40" s="1" t="s">
        <v>2744</v>
      </c>
      <c r="T40" s="1" t="s">
        <v>2744</v>
      </c>
      <c r="U40" s="1" t="s">
        <v>2744</v>
      </c>
      <c r="V40" s="1" t="s">
        <v>2744</v>
      </c>
      <c r="W40" s="1" t="s">
        <v>2744</v>
      </c>
      <c r="X40" s="1" t="s">
        <v>2744</v>
      </c>
      <c r="Y40" s="22" t="s">
        <v>2744</v>
      </c>
      <c r="Z40" s="22" t="s">
        <v>2744</v>
      </c>
      <c r="AA40" s="1" t="s">
        <v>2744</v>
      </c>
      <c r="AB40" s="1" t="s">
        <v>2744</v>
      </c>
      <c r="AC40" s="1" t="s">
        <v>2744</v>
      </c>
      <c r="AD40" s="1" t="s">
        <v>2744</v>
      </c>
      <c r="AE40" s="22" t="s">
        <v>2744</v>
      </c>
      <c r="AF40" s="1" t="s">
        <v>2744</v>
      </c>
      <c r="AG40" s="1" t="s">
        <v>2744</v>
      </c>
      <c r="AH40" s="1" t="s">
        <v>2744</v>
      </c>
      <c r="AI40" s="1" t="s">
        <v>2744</v>
      </c>
      <c r="AJ40" s="1" t="s">
        <v>2744</v>
      </c>
      <c r="AK40" s="1" t="s">
        <v>2744</v>
      </c>
      <c r="AL40" s="1" t="s">
        <v>2744</v>
      </c>
      <c r="AM40" s="1" t="s">
        <v>2744</v>
      </c>
      <c r="AN40" s="1" t="s">
        <v>2744</v>
      </c>
    </row>
    <row r="41" spans="2:40" ht="42" x14ac:dyDescent="0.3">
      <c r="B41" s="19" t="s">
        <v>2272</v>
      </c>
      <c r="C41" s="17" t="s">
        <v>5</v>
      </c>
      <c r="D41" s="16"/>
      <c r="E41" s="2"/>
      <c r="F41" s="2"/>
      <c r="G41" s="2"/>
      <c r="H41" s="2"/>
      <c r="I41" s="2"/>
      <c r="J41" s="2"/>
      <c r="K41" s="3">
        <f>SUM(GMIC_22A_SCDPT1!SCDPT1_021BEGINNG_7:GMIC_22A_SCDPT1!SCDPT1_021ENDINGG_7)</f>
        <v>0</v>
      </c>
      <c r="L41" s="2"/>
      <c r="M41" s="3">
        <f>SUM(GMIC_22A_SCDPT1!SCDPT1_021BEGINNG_9:GMIC_22A_SCDPT1!SCDPT1_021ENDINGG_9)</f>
        <v>0</v>
      </c>
      <c r="N41" s="3">
        <f>SUM(GMIC_22A_SCDPT1!SCDPT1_021BEGINNG_10:GMIC_22A_SCDPT1!SCDPT1_021ENDINGG_10)</f>
        <v>0</v>
      </c>
      <c r="O41" s="3">
        <f>SUM(GMIC_22A_SCDPT1!SCDPT1_021BEGINNG_11:GMIC_22A_SCDPT1!SCDPT1_021ENDINGG_11)</f>
        <v>0</v>
      </c>
      <c r="P41" s="3">
        <f>SUM(GMIC_22A_SCDPT1!SCDPT1_021BEGINNG_12:GMIC_22A_SCDPT1!SCDPT1_021ENDINGG_12)</f>
        <v>0</v>
      </c>
      <c r="Q41" s="3">
        <f>SUM(GMIC_22A_SCDPT1!SCDPT1_021BEGINNG_13:GMIC_22A_SCDPT1!SCDPT1_021ENDINGG_13)</f>
        <v>0</v>
      </c>
      <c r="R41" s="3">
        <f>SUM(GMIC_22A_SCDPT1!SCDPT1_021BEGINNG_14:GMIC_22A_SCDPT1!SCDPT1_021ENDINGG_14)</f>
        <v>0</v>
      </c>
      <c r="S41" s="3">
        <f>SUM(GMIC_22A_SCDPT1!SCDPT1_021BEGINNG_15:GMIC_22A_SCDPT1!SCDPT1_021ENDINGG_15)</f>
        <v>0</v>
      </c>
      <c r="T41" s="2"/>
      <c r="U41" s="2"/>
      <c r="V41" s="2"/>
      <c r="W41" s="3">
        <f>SUM(GMIC_22A_SCDPT1!SCDPT1_021BEGINNG_19:GMIC_22A_SCDPT1!SCDPT1_021ENDINGG_19)</f>
        <v>0</v>
      </c>
      <c r="X41" s="3">
        <f>SUM(GMIC_22A_SCDPT1!SCDPT1_021BEGINNG_20:GMIC_22A_SCDPT1!SCDPT1_021ENDINGG_20)</f>
        <v>0</v>
      </c>
      <c r="Y41" s="29"/>
      <c r="Z41" s="29"/>
      <c r="AA41" s="2"/>
      <c r="AB41" s="2"/>
      <c r="AC41" s="2"/>
      <c r="AD41" s="2"/>
      <c r="AE41" s="29"/>
      <c r="AF41" s="2"/>
      <c r="AG41" s="2"/>
      <c r="AH41" s="2"/>
      <c r="AI41" s="2"/>
      <c r="AJ41" s="2"/>
      <c r="AK41" s="2"/>
      <c r="AL41" s="2"/>
      <c r="AM41" s="2"/>
      <c r="AN41" s="2"/>
    </row>
    <row r="42" spans="2:40" x14ac:dyDescent="0.3">
      <c r="B42" s="7" t="s">
        <v>2744</v>
      </c>
      <c r="C42" s="1" t="s">
        <v>2744</v>
      </c>
      <c r="D42" s="8" t="s">
        <v>2744</v>
      </c>
      <c r="E42" s="1" t="s">
        <v>2744</v>
      </c>
      <c r="F42" s="1" t="s">
        <v>2744</v>
      </c>
      <c r="G42" s="1" t="s">
        <v>2744</v>
      </c>
      <c r="H42" s="1" t="s">
        <v>2744</v>
      </c>
      <c r="I42" s="1" t="s">
        <v>2744</v>
      </c>
      <c r="J42" s="1" t="s">
        <v>2744</v>
      </c>
      <c r="K42" s="1" t="s">
        <v>2744</v>
      </c>
      <c r="L42" s="1" t="s">
        <v>2744</v>
      </c>
      <c r="M42" s="1" t="s">
        <v>2744</v>
      </c>
      <c r="N42" s="1" t="s">
        <v>2744</v>
      </c>
      <c r="O42" s="1" t="s">
        <v>2744</v>
      </c>
      <c r="P42" s="1" t="s">
        <v>2744</v>
      </c>
      <c r="Q42" s="1" t="s">
        <v>2744</v>
      </c>
      <c r="R42" s="1" t="s">
        <v>2744</v>
      </c>
      <c r="S42" s="1" t="s">
        <v>2744</v>
      </c>
      <c r="T42" s="1" t="s">
        <v>2744</v>
      </c>
      <c r="U42" s="1" t="s">
        <v>2744</v>
      </c>
      <c r="V42" s="1" t="s">
        <v>2744</v>
      </c>
      <c r="W42" s="1" t="s">
        <v>2744</v>
      </c>
      <c r="X42" s="1" t="s">
        <v>2744</v>
      </c>
      <c r="Y42" s="22" t="s">
        <v>2744</v>
      </c>
      <c r="Z42" s="22" t="s">
        <v>2744</v>
      </c>
      <c r="AA42" s="1" t="s">
        <v>2744</v>
      </c>
      <c r="AB42" s="1" t="s">
        <v>2744</v>
      </c>
      <c r="AC42" s="1" t="s">
        <v>2744</v>
      </c>
      <c r="AD42" s="1" t="s">
        <v>2744</v>
      </c>
      <c r="AE42" s="22" t="s">
        <v>2744</v>
      </c>
      <c r="AF42" s="1" t="s">
        <v>2744</v>
      </c>
      <c r="AG42" s="1" t="s">
        <v>2744</v>
      </c>
      <c r="AH42" s="1" t="s">
        <v>2744</v>
      </c>
      <c r="AI42" s="1" t="s">
        <v>2744</v>
      </c>
      <c r="AJ42" s="1" t="s">
        <v>2744</v>
      </c>
      <c r="AK42" s="1" t="s">
        <v>2744</v>
      </c>
      <c r="AL42" s="1" t="s">
        <v>2744</v>
      </c>
      <c r="AM42" s="1" t="s">
        <v>2744</v>
      </c>
      <c r="AN42" s="1" t="s">
        <v>2744</v>
      </c>
    </row>
    <row r="43" spans="2:40" x14ac:dyDescent="0.3">
      <c r="B43" s="18" t="s">
        <v>506</v>
      </c>
      <c r="C43" s="25" t="s">
        <v>3897</v>
      </c>
      <c r="D43" s="15" t="s">
        <v>2</v>
      </c>
      <c r="E43" s="37" t="s">
        <v>2</v>
      </c>
      <c r="F43" s="20" t="s">
        <v>2</v>
      </c>
      <c r="G43" s="40" t="s">
        <v>2</v>
      </c>
      <c r="H43" s="32" t="s">
        <v>2</v>
      </c>
      <c r="I43" s="33" t="s">
        <v>2</v>
      </c>
      <c r="J43" s="38" t="s">
        <v>2</v>
      </c>
      <c r="K43" s="4"/>
      <c r="L43" s="41"/>
      <c r="M43" s="4"/>
      <c r="N43" s="4"/>
      <c r="O43" s="4"/>
      <c r="P43" s="4"/>
      <c r="Q43" s="4"/>
      <c r="R43" s="4"/>
      <c r="S43" s="4"/>
      <c r="T43" s="23"/>
      <c r="U43" s="23"/>
      <c r="V43" s="5" t="s">
        <v>2</v>
      </c>
      <c r="W43" s="4"/>
      <c r="X43" s="4"/>
      <c r="Y43" s="10"/>
      <c r="Z43" s="10"/>
      <c r="AA43" s="2"/>
      <c r="AB43" s="31" t="s">
        <v>2</v>
      </c>
      <c r="AC43" s="5" t="s">
        <v>2</v>
      </c>
      <c r="AD43" s="43" t="s">
        <v>2</v>
      </c>
      <c r="AE43" s="6"/>
      <c r="AF43" s="23"/>
      <c r="AG43" s="6"/>
      <c r="AH43" s="5" t="s">
        <v>2</v>
      </c>
      <c r="AI43" s="5" t="s">
        <v>2</v>
      </c>
      <c r="AJ43" s="5" t="s">
        <v>2</v>
      </c>
      <c r="AK43" s="21" t="s">
        <v>2</v>
      </c>
      <c r="AL43" s="39" t="s">
        <v>2</v>
      </c>
      <c r="AM43" s="26" t="s">
        <v>2</v>
      </c>
      <c r="AN43" s="34" t="s">
        <v>2</v>
      </c>
    </row>
    <row r="44" spans="2:40" x14ac:dyDescent="0.3">
      <c r="B44" s="7" t="s">
        <v>2744</v>
      </c>
      <c r="C44" s="1" t="s">
        <v>2744</v>
      </c>
      <c r="D44" s="8" t="s">
        <v>2744</v>
      </c>
      <c r="E44" s="1" t="s">
        <v>2744</v>
      </c>
      <c r="F44" s="1" t="s">
        <v>2744</v>
      </c>
      <c r="G44" s="1" t="s">
        <v>2744</v>
      </c>
      <c r="H44" s="1" t="s">
        <v>2744</v>
      </c>
      <c r="I44" s="1" t="s">
        <v>2744</v>
      </c>
      <c r="J44" s="1" t="s">
        <v>2744</v>
      </c>
      <c r="K44" s="1" t="s">
        <v>2744</v>
      </c>
      <c r="L44" s="1" t="s">
        <v>2744</v>
      </c>
      <c r="M44" s="1" t="s">
        <v>2744</v>
      </c>
      <c r="N44" s="1" t="s">
        <v>2744</v>
      </c>
      <c r="O44" s="1" t="s">
        <v>2744</v>
      </c>
      <c r="P44" s="1" t="s">
        <v>2744</v>
      </c>
      <c r="Q44" s="1" t="s">
        <v>2744</v>
      </c>
      <c r="R44" s="1" t="s">
        <v>2744</v>
      </c>
      <c r="S44" s="1" t="s">
        <v>2744</v>
      </c>
      <c r="T44" s="1" t="s">
        <v>2744</v>
      </c>
      <c r="U44" s="1" t="s">
        <v>2744</v>
      </c>
      <c r="V44" s="1" t="s">
        <v>2744</v>
      </c>
      <c r="W44" s="1" t="s">
        <v>2744</v>
      </c>
      <c r="X44" s="1" t="s">
        <v>2744</v>
      </c>
      <c r="Y44" s="1" t="s">
        <v>2744</v>
      </c>
      <c r="Z44" s="1" t="s">
        <v>2744</v>
      </c>
      <c r="AA44" s="1" t="s">
        <v>2744</v>
      </c>
      <c r="AB44" s="1" t="s">
        <v>2744</v>
      </c>
      <c r="AC44" s="1" t="s">
        <v>2744</v>
      </c>
      <c r="AD44" s="1" t="s">
        <v>2744</v>
      </c>
      <c r="AE44" s="1" t="s">
        <v>2744</v>
      </c>
      <c r="AF44" s="1" t="s">
        <v>2744</v>
      </c>
      <c r="AG44" s="1" t="s">
        <v>2744</v>
      </c>
      <c r="AH44" s="1" t="s">
        <v>2744</v>
      </c>
      <c r="AI44" s="1" t="s">
        <v>2744</v>
      </c>
      <c r="AJ44" s="1" t="s">
        <v>2744</v>
      </c>
      <c r="AK44" s="1" t="s">
        <v>2744</v>
      </c>
      <c r="AL44" s="1" t="s">
        <v>2744</v>
      </c>
      <c r="AM44" s="1" t="s">
        <v>2744</v>
      </c>
      <c r="AN44" s="1" t="s">
        <v>2744</v>
      </c>
    </row>
    <row r="45" spans="2:40" ht="42" x14ac:dyDescent="0.3">
      <c r="B45" s="19" t="s">
        <v>1404</v>
      </c>
      <c r="C45" s="17" t="s">
        <v>6</v>
      </c>
      <c r="D45" s="16"/>
      <c r="E45" s="2"/>
      <c r="F45" s="2"/>
      <c r="G45" s="2"/>
      <c r="H45" s="2"/>
      <c r="I45" s="2"/>
      <c r="J45" s="2"/>
      <c r="K45" s="3">
        <f>SUM(GMIC_22A_SCDPT1!SCDPT1_022BEGINNG_7:GMIC_22A_SCDPT1!SCDPT1_022ENDINGG_7)</f>
        <v>0</v>
      </c>
      <c r="L45" s="2"/>
      <c r="M45" s="3">
        <f>SUM(GMIC_22A_SCDPT1!SCDPT1_022BEGINNG_9:GMIC_22A_SCDPT1!SCDPT1_022ENDINGG_9)</f>
        <v>0</v>
      </c>
      <c r="N45" s="3">
        <f>SUM(GMIC_22A_SCDPT1!SCDPT1_022BEGINNG_10:GMIC_22A_SCDPT1!SCDPT1_022ENDINGG_10)</f>
        <v>0</v>
      </c>
      <c r="O45" s="3">
        <f>SUM(GMIC_22A_SCDPT1!SCDPT1_022BEGINNG_11:GMIC_22A_SCDPT1!SCDPT1_022ENDINGG_11)</f>
        <v>0</v>
      </c>
      <c r="P45" s="3">
        <f>SUM(GMIC_22A_SCDPT1!SCDPT1_022BEGINNG_12:GMIC_22A_SCDPT1!SCDPT1_022ENDINGG_12)</f>
        <v>0</v>
      </c>
      <c r="Q45" s="3">
        <f>SUM(GMIC_22A_SCDPT1!SCDPT1_022BEGINNG_13:GMIC_22A_SCDPT1!SCDPT1_022ENDINGG_13)</f>
        <v>0</v>
      </c>
      <c r="R45" s="3">
        <f>SUM(GMIC_22A_SCDPT1!SCDPT1_022BEGINNG_14:GMIC_22A_SCDPT1!SCDPT1_022ENDINGG_14)</f>
        <v>0</v>
      </c>
      <c r="S45" s="3">
        <f>SUM(GMIC_22A_SCDPT1!SCDPT1_022BEGINNG_15:GMIC_22A_SCDPT1!SCDPT1_022ENDINGG_15)</f>
        <v>0</v>
      </c>
      <c r="T45" s="2"/>
      <c r="U45" s="2"/>
      <c r="V45" s="2"/>
      <c r="W45" s="3">
        <f>SUM(GMIC_22A_SCDPT1!SCDPT1_022BEGINNG_19:GMIC_22A_SCDPT1!SCDPT1_022ENDINGG_19)</f>
        <v>0</v>
      </c>
      <c r="X45" s="3">
        <f>SUM(GMIC_22A_SCDPT1!SCDPT1_022BEGINNG_20:GMIC_22A_SCDPT1!SCDPT1_022ENDINGG_20)</f>
        <v>0</v>
      </c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2:40" x14ac:dyDescent="0.3">
      <c r="B46" s="7" t="s">
        <v>2744</v>
      </c>
      <c r="C46" s="1" t="s">
        <v>2744</v>
      </c>
      <c r="D46" s="8" t="s">
        <v>2744</v>
      </c>
      <c r="E46" s="1" t="s">
        <v>2744</v>
      </c>
      <c r="F46" s="1" t="s">
        <v>2744</v>
      </c>
      <c r="G46" s="1" t="s">
        <v>2744</v>
      </c>
      <c r="H46" s="1" t="s">
        <v>2744</v>
      </c>
      <c r="I46" s="1" t="s">
        <v>2744</v>
      </c>
      <c r="J46" s="1" t="s">
        <v>2744</v>
      </c>
      <c r="K46" s="1" t="s">
        <v>2744</v>
      </c>
      <c r="L46" s="1" t="s">
        <v>2744</v>
      </c>
      <c r="M46" s="1" t="s">
        <v>2744</v>
      </c>
      <c r="N46" s="1" t="s">
        <v>2744</v>
      </c>
      <c r="O46" s="1" t="s">
        <v>2744</v>
      </c>
      <c r="P46" s="1" t="s">
        <v>2744</v>
      </c>
      <c r="Q46" s="1" t="s">
        <v>2744</v>
      </c>
      <c r="R46" s="1" t="s">
        <v>2744</v>
      </c>
      <c r="S46" s="1" t="s">
        <v>2744</v>
      </c>
      <c r="T46" s="1" t="s">
        <v>2744</v>
      </c>
      <c r="U46" s="1" t="s">
        <v>2744</v>
      </c>
      <c r="V46" s="1" t="s">
        <v>2744</v>
      </c>
      <c r="W46" s="1" t="s">
        <v>2744</v>
      </c>
      <c r="X46" s="1" t="s">
        <v>2744</v>
      </c>
      <c r="Y46" s="1" t="s">
        <v>2744</v>
      </c>
      <c r="Z46" s="1" t="s">
        <v>2744</v>
      </c>
      <c r="AA46" s="1" t="s">
        <v>2744</v>
      </c>
      <c r="AB46" s="1" t="s">
        <v>2744</v>
      </c>
      <c r="AC46" s="1" t="s">
        <v>2744</v>
      </c>
      <c r="AD46" s="1" t="s">
        <v>2744</v>
      </c>
      <c r="AE46" s="1" t="s">
        <v>2744</v>
      </c>
      <c r="AF46" s="1" t="s">
        <v>2744</v>
      </c>
      <c r="AG46" s="1" t="s">
        <v>2744</v>
      </c>
      <c r="AH46" s="1" t="s">
        <v>2744</v>
      </c>
      <c r="AI46" s="1" t="s">
        <v>2744</v>
      </c>
      <c r="AJ46" s="1" t="s">
        <v>2744</v>
      </c>
      <c r="AK46" s="1" t="s">
        <v>2744</v>
      </c>
      <c r="AL46" s="1" t="s">
        <v>2744</v>
      </c>
      <c r="AM46" s="1" t="s">
        <v>2744</v>
      </c>
      <c r="AN46" s="1" t="s">
        <v>2744</v>
      </c>
    </row>
    <row r="47" spans="2:40" x14ac:dyDescent="0.3">
      <c r="B47" s="18" t="s">
        <v>4185</v>
      </c>
      <c r="C47" s="25" t="s">
        <v>3897</v>
      </c>
      <c r="D47" s="15" t="s">
        <v>2</v>
      </c>
      <c r="E47" s="37" t="s">
        <v>2</v>
      </c>
      <c r="F47" s="20" t="s">
        <v>2</v>
      </c>
      <c r="G47" s="40" t="s">
        <v>2</v>
      </c>
      <c r="H47" s="32" t="s">
        <v>2</v>
      </c>
      <c r="I47" s="33" t="s">
        <v>2</v>
      </c>
      <c r="J47" s="38" t="s">
        <v>2</v>
      </c>
      <c r="K47" s="4"/>
      <c r="L47" s="41"/>
      <c r="M47" s="4"/>
      <c r="N47" s="4"/>
      <c r="O47" s="4"/>
      <c r="P47" s="4"/>
      <c r="Q47" s="4"/>
      <c r="R47" s="4"/>
      <c r="S47" s="4"/>
      <c r="T47" s="23"/>
      <c r="U47" s="23"/>
      <c r="V47" s="5" t="s">
        <v>2</v>
      </c>
      <c r="W47" s="4"/>
      <c r="X47" s="4"/>
      <c r="Y47" s="6"/>
      <c r="Z47" s="6"/>
      <c r="AA47" s="2"/>
      <c r="AB47" s="31" t="s">
        <v>2</v>
      </c>
      <c r="AC47" s="5" t="s">
        <v>2</v>
      </c>
      <c r="AD47" s="43" t="s">
        <v>2</v>
      </c>
      <c r="AE47" s="6"/>
      <c r="AF47" s="23"/>
      <c r="AG47" s="6"/>
      <c r="AH47" s="5" t="s">
        <v>2</v>
      </c>
      <c r="AI47" s="5" t="s">
        <v>2</v>
      </c>
      <c r="AJ47" s="5" t="s">
        <v>2</v>
      </c>
      <c r="AK47" s="21" t="s">
        <v>2</v>
      </c>
      <c r="AL47" s="39" t="s">
        <v>2</v>
      </c>
      <c r="AM47" s="26" t="s">
        <v>2</v>
      </c>
      <c r="AN47" s="34" t="s">
        <v>2</v>
      </c>
    </row>
    <row r="48" spans="2:40" x14ac:dyDescent="0.3">
      <c r="B48" s="7" t="s">
        <v>2744</v>
      </c>
      <c r="C48" s="1" t="s">
        <v>2744</v>
      </c>
      <c r="D48" s="8" t="s">
        <v>2744</v>
      </c>
      <c r="E48" s="1" t="s">
        <v>2744</v>
      </c>
      <c r="F48" s="1" t="s">
        <v>2744</v>
      </c>
      <c r="G48" s="1" t="s">
        <v>2744</v>
      </c>
      <c r="H48" s="1" t="s">
        <v>2744</v>
      </c>
      <c r="I48" s="1" t="s">
        <v>2744</v>
      </c>
      <c r="J48" s="1" t="s">
        <v>2744</v>
      </c>
      <c r="K48" s="1" t="s">
        <v>2744</v>
      </c>
      <c r="L48" s="1" t="s">
        <v>2744</v>
      </c>
      <c r="M48" s="1" t="s">
        <v>2744</v>
      </c>
      <c r="N48" s="1" t="s">
        <v>2744</v>
      </c>
      <c r="O48" s="1" t="s">
        <v>2744</v>
      </c>
      <c r="P48" s="1" t="s">
        <v>2744</v>
      </c>
      <c r="Q48" s="1" t="s">
        <v>2744</v>
      </c>
      <c r="R48" s="1" t="s">
        <v>2744</v>
      </c>
      <c r="S48" s="1" t="s">
        <v>2744</v>
      </c>
      <c r="T48" s="1" t="s">
        <v>2744</v>
      </c>
      <c r="U48" s="1" t="s">
        <v>2744</v>
      </c>
      <c r="V48" s="1" t="s">
        <v>2744</v>
      </c>
      <c r="W48" s="1" t="s">
        <v>2744</v>
      </c>
      <c r="X48" s="1" t="s">
        <v>2744</v>
      </c>
      <c r="Y48" s="1" t="s">
        <v>2744</v>
      </c>
      <c r="Z48" s="1" t="s">
        <v>2744</v>
      </c>
      <c r="AA48" s="1" t="s">
        <v>2744</v>
      </c>
      <c r="AB48" s="1" t="s">
        <v>2744</v>
      </c>
      <c r="AC48" s="1" t="s">
        <v>2744</v>
      </c>
      <c r="AD48" s="1" t="s">
        <v>2744</v>
      </c>
      <c r="AE48" s="1" t="s">
        <v>2744</v>
      </c>
      <c r="AF48" s="1" t="s">
        <v>2744</v>
      </c>
      <c r="AG48" s="1" t="s">
        <v>2744</v>
      </c>
      <c r="AH48" s="1" t="s">
        <v>2744</v>
      </c>
      <c r="AI48" s="1" t="s">
        <v>2744</v>
      </c>
      <c r="AJ48" s="1" t="s">
        <v>2744</v>
      </c>
      <c r="AK48" s="1" t="s">
        <v>2744</v>
      </c>
      <c r="AL48" s="1" t="s">
        <v>2744</v>
      </c>
      <c r="AM48" s="1" t="s">
        <v>2744</v>
      </c>
      <c r="AN48" s="1" t="s">
        <v>2744</v>
      </c>
    </row>
    <row r="49" spans="2:40" ht="42" x14ac:dyDescent="0.3">
      <c r="B49" s="19" t="s">
        <v>507</v>
      </c>
      <c r="C49" s="17" t="s">
        <v>3056</v>
      </c>
      <c r="D49" s="16"/>
      <c r="E49" s="2"/>
      <c r="F49" s="2"/>
      <c r="G49" s="2"/>
      <c r="H49" s="2"/>
      <c r="I49" s="2"/>
      <c r="J49" s="2"/>
      <c r="K49" s="3">
        <f>SUM(GMIC_22A_SCDPT1!SCDPT1_023BEGINNG_7:GMIC_22A_SCDPT1!SCDPT1_023ENDINGG_7)</f>
        <v>0</v>
      </c>
      <c r="L49" s="2"/>
      <c r="M49" s="3">
        <f>SUM(GMIC_22A_SCDPT1!SCDPT1_023BEGINNG_9:GMIC_22A_SCDPT1!SCDPT1_023ENDINGG_9)</f>
        <v>0</v>
      </c>
      <c r="N49" s="3">
        <f>SUM(GMIC_22A_SCDPT1!SCDPT1_023BEGINNG_10:GMIC_22A_SCDPT1!SCDPT1_023ENDINGG_10)</f>
        <v>0</v>
      </c>
      <c r="O49" s="3">
        <f>SUM(GMIC_22A_SCDPT1!SCDPT1_023BEGINNG_11:GMIC_22A_SCDPT1!SCDPT1_023ENDINGG_11)</f>
        <v>0</v>
      </c>
      <c r="P49" s="3">
        <f>SUM(GMIC_22A_SCDPT1!SCDPT1_023BEGINNG_12:GMIC_22A_SCDPT1!SCDPT1_023ENDINGG_12)</f>
        <v>0</v>
      </c>
      <c r="Q49" s="3">
        <f>SUM(GMIC_22A_SCDPT1!SCDPT1_023BEGINNG_13:GMIC_22A_SCDPT1!SCDPT1_023ENDINGG_13)</f>
        <v>0</v>
      </c>
      <c r="R49" s="3">
        <f>SUM(GMIC_22A_SCDPT1!SCDPT1_023BEGINNG_14:GMIC_22A_SCDPT1!SCDPT1_023ENDINGG_14)</f>
        <v>0</v>
      </c>
      <c r="S49" s="3">
        <f>SUM(GMIC_22A_SCDPT1!SCDPT1_023BEGINNG_15:GMIC_22A_SCDPT1!SCDPT1_023ENDINGG_15)</f>
        <v>0</v>
      </c>
      <c r="T49" s="2"/>
      <c r="U49" s="2"/>
      <c r="V49" s="2"/>
      <c r="W49" s="3">
        <f>SUM(GMIC_22A_SCDPT1!SCDPT1_023BEGINNG_19:GMIC_22A_SCDPT1!SCDPT1_023ENDINGG_19)</f>
        <v>0</v>
      </c>
      <c r="X49" s="3">
        <f>SUM(GMIC_22A_SCDPT1!SCDPT1_023BEGINNG_20:GMIC_22A_SCDPT1!SCDPT1_023ENDINGG_20)</f>
        <v>0</v>
      </c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2:40" x14ac:dyDescent="0.3">
      <c r="B50" s="7" t="s">
        <v>2744</v>
      </c>
      <c r="C50" s="1" t="s">
        <v>2744</v>
      </c>
      <c r="D50" s="8" t="s">
        <v>2744</v>
      </c>
      <c r="E50" s="1" t="s">
        <v>2744</v>
      </c>
      <c r="F50" s="1" t="s">
        <v>2744</v>
      </c>
      <c r="G50" s="1" t="s">
        <v>2744</v>
      </c>
      <c r="H50" s="1" t="s">
        <v>2744</v>
      </c>
      <c r="I50" s="1" t="s">
        <v>2744</v>
      </c>
      <c r="J50" s="1" t="s">
        <v>2744</v>
      </c>
      <c r="K50" s="1" t="s">
        <v>2744</v>
      </c>
      <c r="L50" s="1" t="s">
        <v>2744</v>
      </c>
      <c r="M50" s="1" t="s">
        <v>2744</v>
      </c>
      <c r="N50" s="1" t="s">
        <v>2744</v>
      </c>
      <c r="O50" s="1" t="s">
        <v>2744</v>
      </c>
      <c r="P50" s="1" t="s">
        <v>2744</v>
      </c>
      <c r="Q50" s="1" t="s">
        <v>2744</v>
      </c>
      <c r="R50" s="1" t="s">
        <v>2744</v>
      </c>
      <c r="S50" s="1" t="s">
        <v>2744</v>
      </c>
      <c r="T50" s="1" t="s">
        <v>2744</v>
      </c>
      <c r="U50" s="1" t="s">
        <v>2744</v>
      </c>
      <c r="V50" s="1" t="s">
        <v>2744</v>
      </c>
      <c r="W50" s="1" t="s">
        <v>2744</v>
      </c>
      <c r="X50" s="1" t="s">
        <v>2744</v>
      </c>
      <c r="Y50" s="1" t="s">
        <v>2744</v>
      </c>
      <c r="Z50" s="1" t="s">
        <v>2744</v>
      </c>
      <c r="AA50" s="1" t="s">
        <v>2744</v>
      </c>
      <c r="AB50" s="1" t="s">
        <v>2744</v>
      </c>
      <c r="AC50" s="1" t="s">
        <v>2744</v>
      </c>
      <c r="AD50" s="1" t="s">
        <v>2744</v>
      </c>
      <c r="AE50" s="1" t="s">
        <v>2744</v>
      </c>
      <c r="AF50" s="1" t="s">
        <v>2744</v>
      </c>
      <c r="AG50" s="1" t="s">
        <v>2744</v>
      </c>
      <c r="AH50" s="1" t="s">
        <v>2744</v>
      </c>
      <c r="AI50" s="1" t="s">
        <v>2744</v>
      </c>
      <c r="AJ50" s="1" t="s">
        <v>2744</v>
      </c>
      <c r="AK50" s="1" t="s">
        <v>2744</v>
      </c>
      <c r="AL50" s="1" t="s">
        <v>2744</v>
      </c>
      <c r="AM50" s="1" t="s">
        <v>2744</v>
      </c>
      <c r="AN50" s="1" t="s">
        <v>2744</v>
      </c>
    </row>
    <row r="51" spans="2:40" x14ac:dyDescent="0.3">
      <c r="B51" s="18" t="s">
        <v>3410</v>
      </c>
      <c r="C51" s="25" t="s">
        <v>3897</v>
      </c>
      <c r="D51" s="15" t="s">
        <v>2</v>
      </c>
      <c r="E51" s="37" t="s">
        <v>2</v>
      </c>
      <c r="F51" s="20" t="s">
        <v>2</v>
      </c>
      <c r="G51" s="40" t="s">
        <v>2</v>
      </c>
      <c r="H51" s="32" t="s">
        <v>2</v>
      </c>
      <c r="I51" s="33" t="s">
        <v>2</v>
      </c>
      <c r="J51" s="38" t="s">
        <v>2</v>
      </c>
      <c r="K51" s="4"/>
      <c r="L51" s="41"/>
      <c r="M51" s="4"/>
      <c r="N51" s="4"/>
      <c r="O51" s="4"/>
      <c r="P51" s="4"/>
      <c r="Q51" s="4"/>
      <c r="R51" s="4"/>
      <c r="S51" s="4"/>
      <c r="T51" s="23"/>
      <c r="U51" s="23"/>
      <c r="V51" s="5" t="s">
        <v>2</v>
      </c>
      <c r="W51" s="4"/>
      <c r="X51" s="4"/>
      <c r="Y51" s="6"/>
      <c r="Z51" s="6"/>
      <c r="AA51" s="2"/>
      <c r="AB51" s="31" t="s">
        <v>2</v>
      </c>
      <c r="AC51" s="5" t="s">
        <v>2</v>
      </c>
      <c r="AD51" s="43" t="s">
        <v>2</v>
      </c>
      <c r="AE51" s="6"/>
      <c r="AF51" s="23"/>
      <c r="AG51" s="6"/>
      <c r="AH51" s="5" t="s">
        <v>2</v>
      </c>
      <c r="AI51" s="5" t="s">
        <v>2</v>
      </c>
      <c r="AJ51" s="5" t="s">
        <v>2</v>
      </c>
      <c r="AK51" s="21" t="s">
        <v>2</v>
      </c>
      <c r="AL51" s="39" t="s">
        <v>2</v>
      </c>
      <c r="AM51" s="26" t="s">
        <v>2</v>
      </c>
      <c r="AN51" s="34" t="s">
        <v>2</v>
      </c>
    </row>
    <row r="52" spans="2:40" x14ac:dyDescent="0.3">
      <c r="B52" s="7" t="s">
        <v>2744</v>
      </c>
      <c r="C52" s="1" t="s">
        <v>2744</v>
      </c>
      <c r="D52" s="8" t="s">
        <v>2744</v>
      </c>
      <c r="E52" s="1" t="s">
        <v>2744</v>
      </c>
      <c r="F52" s="1" t="s">
        <v>2744</v>
      </c>
      <c r="G52" s="1" t="s">
        <v>2744</v>
      </c>
      <c r="H52" s="1" t="s">
        <v>2744</v>
      </c>
      <c r="I52" s="1" t="s">
        <v>2744</v>
      </c>
      <c r="J52" s="1" t="s">
        <v>2744</v>
      </c>
      <c r="K52" s="1" t="s">
        <v>2744</v>
      </c>
      <c r="L52" s="1" t="s">
        <v>2744</v>
      </c>
      <c r="M52" s="1" t="s">
        <v>2744</v>
      </c>
      <c r="N52" s="1" t="s">
        <v>2744</v>
      </c>
      <c r="O52" s="1" t="s">
        <v>2744</v>
      </c>
      <c r="P52" s="1" t="s">
        <v>2744</v>
      </c>
      <c r="Q52" s="1" t="s">
        <v>2744</v>
      </c>
      <c r="R52" s="1" t="s">
        <v>2744</v>
      </c>
      <c r="S52" s="1" t="s">
        <v>2744</v>
      </c>
      <c r="T52" s="1" t="s">
        <v>2744</v>
      </c>
      <c r="U52" s="1" t="s">
        <v>2744</v>
      </c>
      <c r="V52" s="1" t="s">
        <v>2744</v>
      </c>
      <c r="W52" s="1" t="s">
        <v>2744</v>
      </c>
      <c r="X52" s="1" t="s">
        <v>2744</v>
      </c>
      <c r="Y52" s="22" t="s">
        <v>2744</v>
      </c>
      <c r="Z52" s="22" t="s">
        <v>2744</v>
      </c>
      <c r="AA52" s="1" t="s">
        <v>2744</v>
      </c>
      <c r="AB52" s="1" t="s">
        <v>2744</v>
      </c>
      <c r="AC52" s="1" t="s">
        <v>2744</v>
      </c>
      <c r="AD52" s="1" t="s">
        <v>2744</v>
      </c>
      <c r="AE52" s="22" t="s">
        <v>2744</v>
      </c>
      <c r="AF52" s="1" t="s">
        <v>2744</v>
      </c>
      <c r="AG52" s="22" t="s">
        <v>2744</v>
      </c>
      <c r="AH52" s="1" t="s">
        <v>2744</v>
      </c>
      <c r="AI52" s="1" t="s">
        <v>2744</v>
      </c>
      <c r="AJ52" s="1" t="s">
        <v>2744</v>
      </c>
      <c r="AK52" s="1" t="s">
        <v>2744</v>
      </c>
      <c r="AL52" s="1" t="s">
        <v>2744</v>
      </c>
      <c r="AM52" s="1" t="s">
        <v>2744</v>
      </c>
      <c r="AN52" s="1" t="s">
        <v>2744</v>
      </c>
    </row>
    <row r="53" spans="2:40" ht="56" x14ac:dyDescent="0.3">
      <c r="B53" s="19" t="s">
        <v>4186</v>
      </c>
      <c r="C53" s="17" t="s">
        <v>3411</v>
      </c>
      <c r="D53" s="16"/>
      <c r="E53" s="2"/>
      <c r="F53" s="2"/>
      <c r="G53" s="2"/>
      <c r="H53" s="2"/>
      <c r="I53" s="2"/>
      <c r="J53" s="2"/>
      <c r="K53" s="3">
        <f>SUM(GMIC_22A_SCDPT1!SCDPT1_024BEGINNG_7:GMIC_22A_SCDPT1!SCDPT1_024ENDINGG_7)</f>
        <v>0</v>
      </c>
      <c r="L53" s="2"/>
      <c r="M53" s="3">
        <f>SUM(GMIC_22A_SCDPT1!SCDPT1_024BEGINNG_9:GMIC_22A_SCDPT1!SCDPT1_024ENDINGG_9)</f>
        <v>0</v>
      </c>
      <c r="N53" s="3">
        <f>SUM(GMIC_22A_SCDPT1!SCDPT1_024BEGINNG_10:GMIC_22A_SCDPT1!SCDPT1_024ENDINGG_10)</f>
        <v>0</v>
      </c>
      <c r="O53" s="3">
        <f>SUM(GMIC_22A_SCDPT1!SCDPT1_024BEGINNG_11:GMIC_22A_SCDPT1!SCDPT1_024ENDINGG_11)</f>
        <v>0</v>
      </c>
      <c r="P53" s="3">
        <f>SUM(GMIC_22A_SCDPT1!SCDPT1_024BEGINNG_12:GMIC_22A_SCDPT1!SCDPT1_024ENDINGG_12)</f>
        <v>0</v>
      </c>
      <c r="Q53" s="3">
        <f>SUM(GMIC_22A_SCDPT1!SCDPT1_024BEGINNG_13:GMIC_22A_SCDPT1!SCDPT1_024ENDINGG_13)</f>
        <v>0</v>
      </c>
      <c r="R53" s="3">
        <f>SUM(GMIC_22A_SCDPT1!SCDPT1_024BEGINNG_14:GMIC_22A_SCDPT1!SCDPT1_024ENDINGG_14)</f>
        <v>0</v>
      </c>
      <c r="S53" s="3">
        <f>SUM(GMIC_22A_SCDPT1!SCDPT1_024BEGINNG_15:GMIC_22A_SCDPT1!SCDPT1_024ENDINGG_15)</f>
        <v>0</v>
      </c>
      <c r="T53" s="2"/>
      <c r="U53" s="2"/>
      <c r="V53" s="2"/>
      <c r="W53" s="3">
        <f>SUM(GMIC_22A_SCDPT1!SCDPT1_024BEGINNG_19:GMIC_22A_SCDPT1!SCDPT1_024ENDINGG_19)</f>
        <v>0</v>
      </c>
      <c r="X53" s="3">
        <f>SUM(GMIC_22A_SCDPT1!SCDPT1_024BEGINNG_20:GMIC_22A_SCDPT1!SCDPT1_024ENDINGG_20)</f>
        <v>0</v>
      </c>
      <c r="Y53" s="29"/>
      <c r="Z53" s="29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2:40" ht="28" x14ac:dyDescent="0.3">
      <c r="B54" s="19" t="s">
        <v>3412</v>
      </c>
      <c r="C54" s="17" t="s">
        <v>789</v>
      </c>
      <c r="D54" s="16"/>
      <c r="E54" s="2"/>
      <c r="F54" s="2"/>
      <c r="G54" s="2"/>
      <c r="H54" s="2"/>
      <c r="I54" s="2"/>
      <c r="J54" s="2"/>
      <c r="K54" s="3">
        <f>GMIC_22A_SCDPT1!SCDPT1_0219999999_7+GMIC_22A_SCDPT1!SCDPT1_0229999999_7+GMIC_22A_SCDPT1!SCDPT1_0239999999_7+GMIC_22A_SCDPT1!SCDPT1_0249999999_7</f>
        <v>0</v>
      </c>
      <c r="L54" s="2"/>
      <c r="M54" s="3">
        <f>GMIC_22A_SCDPT1!SCDPT1_0219999999_9+GMIC_22A_SCDPT1!SCDPT1_0229999999_9+GMIC_22A_SCDPT1!SCDPT1_0239999999_9+GMIC_22A_SCDPT1!SCDPT1_0249999999_9</f>
        <v>0</v>
      </c>
      <c r="N54" s="3">
        <f>GMIC_22A_SCDPT1!SCDPT1_0219999999_10+GMIC_22A_SCDPT1!SCDPT1_0229999999_10+GMIC_22A_SCDPT1!SCDPT1_0239999999_10+GMIC_22A_SCDPT1!SCDPT1_0249999999_10</f>
        <v>0</v>
      </c>
      <c r="O54" s="3">
        <f>GMIC_22A_SCDPT1!SCDPT1_0219999999_11+GMIC_22A_SCDPT1!SCDPT1_0229999999_11+GMIC_22A_SCDPT1!SCDPT1_0239999999_11+GMIC_22A_SCDPT1!SCDPT1_0249999999_11</f>
        <v>0</v>
      </c>
      <c r="P54" s="3">
        <f>GMIC_22A_SCDPT1!SCDPT1_0219999999_12+GMIC_22A_SCDPT1!SCDPT1_0229999999_12+GMIC_22A_SCDPT1!SCDPT1_0239999999_12+GMIC_22A_SCDPT1!SCDPT1_0249999999_12</f>
        <v>0</v>
      </c>
      <c r="Q54" s="3">
        <f>GMIC_22A_SCDPT1!SCDPT1_0219999999_13+GMIC_22A_SCDPT1!SCDPT1_0229999999_13+GMIC_22A_SCDPT1!SCDPT1_0239999999_13+GMIC_22A_SCDPT1!SCDPT1_0249999999_13</f>
        <v>0</v>
      </c>
      <c r="R54" s="3">
        <f>GMIC_22A_SCDPT1!SCDPT1_0219999999_14+GMIC_22A_SCDPT1!SCDPT1_0229999999_14+GMIC_22A_SCDPT1!SCDPT1_0239999999_14+GMIC_22A_SCDPT1!SCDPT1_0249999999_14</f>
        <v>0</v>
      </c>
      <c r="S54" s="3">
        <f>GMIC_22A_SCDPT1!SCDPT1_0219999999_15+GMIC_22A_SCDPT1!SCDPT1_0229999999_15+GMIC_22A_SCDPT1!SCDPT1_0239999999_15+GMIC_22A_SCDPT1!SCDPT1_0249999999_15</f>
        <v>0</v>
      </c>
      <c r="T54" s="2"/>
      <c r="U54" s="2"/>
      <c r="V54" s="2"/>
      <c r="W54" s="3">
        <f>GMIC_22A_SCDPT1!SCDPT1_0219999999_19+GMIC_22A_SCDPT1!SCDPT1_0229999999_19+GMIC_22A_SCDPT1!SCDPT1_0239999999_19+GMIC_22A_SCDPT1!SCDPT1_0249999999_19</f>
        <v>0</v>
      </c>
      <c r="X54" s="3">
        <f>GMIC_22A_SCDPT1!SCDPT1_0219999999_20+GMIC_22A_SCDPT1!SCDPT1_0229999999_20+GMIC_22A_SCDPT1!SCDPT1_0239999999_20+GMIC_22A_SCDPT1!SCDPT1_0249999999_20</f>
        <v>0</v>
      </c>
      <c r="Y54" s="29"/>
      <c r="Z54" s="29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2:40" x14ac:dyDescent="0.3">
      <c r="B55" s="7" t="s">
        <v>2744</v>
      </c>
      <c r="C55" s="1" t="s">
        <v>2744</v>
      </c>
      <c r="D55" s="8" t="s">
        <v>2744</v>
      </c>
      <c r="E55" s="1" t="s">
        <v>2744</v>
      </c>
      <c r="F55" s="1" t="s">
        <v>2744</v>
      </c>
      <c r="G55" s="1" t="s">
        <v>2744</v>
      </c>
      <c r="H55" s="1" t="s">
        <v>2744</v>
      </c>
      <c r="I55" s="1" t="s">
        <v>2744</v>
      </c>
      <c r="J55" s="1" t="s">
        <v>2744</v>
      </c>
      <c r="K55" s="1" t="s">
        <v>2744</v>
      </c>
      <c r="L55" s="1" t="s">
        <v>2744</v>
      </c>
      <c r="M55" s="1" t="s">
        <v>2744</v>
      </c>
      <c r="N55" s="1" t="s">
        <v>2744</v>
      </c>
      <c r="O55" s="1" t="s">
        <v>2744</v>
      </c>
      <c r="P55" s="1" t="s">
        <v>2744</v>
      </c>
      <c r="Q55" s="1" t="s">
        <v>2744</v>
      </c>
      <c r="R55" s="1" t="s">
        <v>2744</v>
      </c>
      <c r="S55" s="1" t="s">
        <v>2744</v>
      </c>
      <c r="T55" s="1" t="s">
        <v>2744</v>
      </c>
      <c r="U55" s="1" t="s">
        <v>2744</v>
      </c>
      <c r="V55" s="1" t="s">
        <v>2744</v>
      </c>
      <c r="W55" s="1" t="s">
        <v>2744</v>
      </c>
      <c r="X55" s="1" t="s">
        <v>2744</v>
      </c>
      <c r="Y55" s="22" t="s">
        <v>2744</v>
      </c>
      <c r="Z55" s="22" t="s">
        <v>2744</v>
      </c>
      <c r="AA55" s="1" t="s">
        <v>2744</v>
      </c>
      <c r="AB55" s="1" t="s">
        <v>2744</v>
      </c>
      <c r="AC55" s="1" t="s">
        <v>2744</v>
      </c>
      <c r="AD55" s="1" t="s">
        <v>2744</v>
      </c>
      <c r="AE55" s="1" t="s">
        <v>2744</v>
      </c>
      <c r="AF55" s="1" t="s">
        <v>2744</v>
      </c>
      <c r="AG55" s="1" t="s">
        <v>2744</v>
      </c>
      <c r="AH55" s="1" t="s">
        <v>2744</v>
      </c>
      <c r="AI55" s="1" t="s">
        <v>2744</v>
      </c>
      <c r="AJ55" s="1" t="s">
        <v>2744</v>
      </c>
      <c r="AK55" s="1" t="s">
        <v>2744</v>
      </c>
      <c r="AL55" s="1" t="s">
        <v>2744</v>
      </c>
      <c r="AM55" s="1" t="s">
        <v>2744</v>
      </c>
      <c r="AN55" s="1" t="s">
        <v>2744</v>
      </c>
    </row>
    <row r="56" spans="2:40" x14ac:dyDescent="0.3">
      <c r="B56" s="18" t="s">
        <v>3057</v>
      </c>
      <c r="C56" s="47" t="s">
        <v>508</v>
      </c>
      <c r="D56" s="15" t="s">
        <v>1920</v>
      </c>
      <c r="E56" s="37" t="s">
        <v>2</v>
      </c>
      <c r="F56" s="20" t="s">
        <v>2</v>
      </c>
      <c r="G56" s="40" t="s">
        <v>2745</v>
      </c>
      <c r="H56" s="32" t="s">
        <v>2745</v>
      </c>
      <c r="I56" s="33" t="s">
        <v>1164</v>
      </c>
      <c r="J56" s="38" t="s">
        <v>270</v>
      </c>
      <c r="K56" s="4">
        <v>9696650</v>
      </c>
      <c r="L56" s="41">
        <v>77.305000000000007</v>
      </c>
      <c r="M56" s="4">
        <v>7343975</v>
      </c>
      <c r="N56" s="4">
        <v>9500000</v>
      </c>
      <c r="O56" s="4">
        <v>9677581</v>
      </c>
      <c r="P56" s="4">
        <v>0</v>
      </c>
      <c r="Q56" s="4">
        <v>-18518</v>
      </c>
      <c r="R56" s="4">
        <v>0</v>
      </c>
      <c r="S56" s="4">
        <v>0</v>
      </c>
      <c r="T56" s="23">
        <v>2.4220000000000002</v>
      </c>
      <c r="U56" s="23">
        <v>2.1819999999999999</v>
      </c>
      <c r="V56" s="5" t="s">
        <v>3895</v>
      </c>
      <c r="W56" s="4">
        <v>57522</v>
      </c>
      <c r="X56" s="4">
        <v>223059</v>
      </c>
      <c r="Y56" s="14">
        <v>44546</v>
      </c>
      <c r="Z56" s="14">
        <v>49218</v>
      </c>
      <c r="AA56" s="45" t="s">
        <v>2748</v>
      </c>
      <c r="AB56" s="31" t="s">
        <v>3892</v>
      </c>
      <c r="AC56" s="5" t="s">
        <v>7</v>
      </c>
      <c r="AD56" s="2"/>
      <c r="AE56" s="9">
        <v>48061</v>
      </c>
      <c r="AF56" s="23">
        <v>100</v>
      </c>
      <c r="AG56" s="9">
        <v>48061</v>
      </c>
      <c r="AH56" s="5" t="s">
        <v>2</v>
      </c>
      <c r="AI56" s="5" t="s">
        <v>1405</v>
      </c>
      <c r="AJ56" s="5" t="s">
        <v>1405</v>
      </c>
      <c r="AK56" s="21" t="s">
        <v>2</v>
      </c>
      <c r="AL56" s="39" t="s">
        <v>1921</v>
      </c>
      <c r="AM56" s="26" t="s">
        <v>4179</v>
      </c>
      <c r="AN56" s="34" t="s">
        <v>1625</v>
      </c>
    </row>
    <row r="57" spans="2:40" x14ac:dyDescent="0.3">
      <c r="B57" s="18" t="s">
        <v>4187</v>
      </c>
      <c r="C57" s="47" t="s">
        <v>1922</v>
      </c>
      <c r="D57" s="15" t="s">
        <v>790</v>
      </c>
      <c r="E57" s="68" t="s">
        <v>2</v>
      </c>
      <c r="F57" s="55" t="s">
        <v>2</v>
      </c>
      <c r="G57" s="40" t="s">
        <v>2745</v>
      </c>
      <c r="H57" s="71" t="s">
        <v>2745</v>
      </c>
      <c r="I57" s="67" t="s">
        <v>8</v>
      </c>
      <c r="J57" s="73" t="s">
        <v>270</v>
      </c>
      <c r="K57" s="4">
        <v>2000000</v>
      </c>
      <c r="L57" s="41">
        <v>75.721999999999994</v>
      </c>
      <c r="M57" s="4">
        <v>1514440</v>
      </c>
      <c r="N57" s="4">
        <v>2000000</v>
      </c>
      <c r="O57" s="4">
        <v>2000000</v>
      </c>
      <c r="P57" s="4">
        <v>0</v>
      </c>
      <c r="Q57" s="4">
        <v>0</v>
      </c>
      <c r="R57" s="4">
        <v>0</v>
      </c>
      <c r="S57" s="4">
        <v>0</v>
      </c>
      <c r="T57" s="23">
        <v>1.67</v>
      </c>
      <c r="U57" s="23">
        <v>1.67</v>
      </c>
      <c r="V57" s="5" t="s">
        <v>3409</v>
      </c>
      <c r="W57" s="4">
        <v>5567</v>
      </c>
      <c r="X57" s="4">
        <v>33400</v>
      </c>
      <c r="Y57" s="14">
        <v>44154</v>
      </c>
      <c r="Z57" s="14">
        <v>48153</v>
      </c>
      <c r="AA57" s="70" t="s">
        <v>1626</v>
      </c>
      <c r="AB57" s="69" t="s">
        <v>3892</v>
      </c>
      <c r="AC57" s="5" t="s">
        <v>7</v>
      </c>
      <c r="AD57" s="2"/>
      <c r="AE57" s="9">
        <v>47788</v>
      </c>
      <c r="AF57" s="23">
        <v>100</v>
      </c>
      <c r="AG57" s="6"/>
      <c r="AH57" s="5" t="s">
        <v>4188</v>
      </c>
      <c r="AI57" s="5" t="s">
        <v>2536</v>
      </c>
      <c r="AJ57" s="5" t="s">
        <v>2536</v>
      </c>
      <c r="AK57" s="21" t="s">
        <v>2</v>
      </c>
      <c r="AL57" s="72" t="s">
        <v>3894</v>
      </c>
      <c r="AM57" s="54" t="s">
        <v>4179</v>
      </c>
      <c r="AN57" s="34" t="s">
        <v>1923</v>
      </c>
    </row>
    <row r="58" spans="2:40" x14ac:dyDescent="0.3">
      <c r="B58" s="18" t="s">
        <v>791</v>
      </c>
      <c r="C58" s="47" t="s">
        <v>9</v>
      </c>
      <c r="D58" s="15" t="s">
        <v>3413</v>
      </c>
      <c r="E58" s="68" t="s">
        <v>2</v>
      </c>
      <c r="F58" s="55" t="s">
        <v>2</v>
      </c>
      <c r="G58" s="40" t="s">
        <v>2745</v>
      </c>
      <c r="H58" s="71" t="s">
        <v>2745</v>
      </c>
      <c r="I58" s="67" t="s">
        <v>1164</v>
      </c>
      <c r="J58" s="73" t="s">
        <v>270</v>
      </c>
      <c r="K58" s="4">
        <v>1595000</v>
      </c>
      <c r="L58" s="41">
        <v>80.521000000000001</v>
      </c>
      <c r="M58" s="4">
        <v>1284310</v>
      </c>
      <c r="N58" s="4">
        <v>1595000</v>
      </c>
      <c r="O58" s="4">
        <v>1595000</v>
      </c>
      <c r="P58" s="4">
        <v>0</v>
      </c>
      <c r="Q58" s="4">
        <v>0</v>
      </c>
      <c r="R58" s="4">
        <v>0</v>
      </c>
      <c r="S58" s="4">
        <v>0</v>
      </c>
      <c r="T58" s="23">
        <v>1.3819999999999999</v>
      </c>
      <c r="U58" s="23">
        <v>1.3819999999999999</v>
      </c>
      <c r="V58" s="5" t="s">
        <v>3409</v>
      </c>
      <c r="W58" s="4">
        <v>3674</v>
      </c>
      <c r="X58" s="4">
        <v>22043</v>
      </c>
      <c r="Y58" s="14">
        <v>44036</v>
      </c>
      <c r="Z58" s="14">
        <v>47423</v>
      </c>
      <c r="AA58" s="70" t="s">
        <v>10</v>
      </c>
      <c r="AB58" s="69" t="s">
        <v>3892</v>
      </c>
      <c r="AC58" s="5" t="s">
        <v>7</v>
      </c>
      <c r="AD58" s="2"/>
      <c r="AE58" s="6"/>
      <c r="AF58" s="23"/>
      <c r="AG58" s="6"/>
      <c r="AH58" s="5" t="s">
        <v>2</v>
      </c>
      <c r="AI58" s="5" t="s">
        <v>509</v>
      </c>
      <c r="AJ58" s="5" t="s">
        <v>509</v>
      </c>
      <c r="AK58" s="21" t="s">
        <v>2</v>
      </c>
      <c r="AL58" s="72" t="s">
        <v>3894</v>
      </c>
      <c r="AM58" s="54" t="s">
        <v>4179</v>
      </c>
      <c r="AN58" s="34" t="s">
        <v>1625</v>
      </c>
    </row>
    <row r="59" spans="2:40" x14ac:dyDescent="0.3">
      <c r="B59" s="18" t="s">
        <v>1924</v>
      </c>
      <c r="C59" s="47" t="s">
        <v>3414</v>
      </c>
      <c r="D59" s="15" t="s">
        <v>3413</v>
      </c>
      <c r="E59" s="68" t="s">
        <v>2</v>
      </c>
      <c r="F59" s="55" t="s">
        <v>2</v>
      </c>
      <c r="G59" s="40" t="s">
        <v>2745</v>
      </c>
      <c r="H59" s="71" t="s">
        <v>2745</v>
      </c>
      <c r="I59" s="67" t="s">
        <v>1164</v>
      </c>
      <c r="J59" s="73" t="s">
        <v>270</v>
      </c>
      <c r="K59" s="4">
        <v>1500000</v>
      </c>
      <c r="L59" s="41">
        <v>78.727000000000004</v>
      </c>
      <c r="M59" s="4">
        <v>1180905</v>
      </c>
      <c r="N59" s="4">
        <v>1500000</v>
      </c>
      <c r="O59" s="4">
        <v>1500000</v>
      </c>
      <c r="P59" s="4">
        <v>0</v>
      </c>
      <c r="Q59" s="4">
        <v>0</v>
      </c>
      <c r="R59" s="4">
        <v>0</v>
      </c>
      <c r="S59" s="4">
        <v>0</v>
      </c>
      <c r="T59" s="23">
        <v>1.482</v>
      </c>
      <c r="U59" s="23">
        <v>1.482</v>
      </c>
      <c r="V59" s="5" t="s">
        <v>3409</v>
      </c>
      <c r="W59" s="4">
        <v>3705</v>
      </c>
      <c r="X59" s="4">
        <v>22230</v>
      </c>
      <c r="Y59" s="14">
        <v>44036</v>
      </c>
      <c r="Z59" s="14">
        <v>47788</v>
      </c>
      <c r="AA59" s="70" t="s">
        <v>10</v>
      </c>
      <c r="AB59" s="69" t="s">
        <v>3892</v>
      </c>
      <c r="AC59" s="5" t="s">
        <v>7</v>
      </c>
      <c r="AD59" s="2"/>
      <c r="AE59" s="6"/>
      <c r="AF59" s="23"/>
      <c r="AG59" s="6"/>
      <c r="AH59" s="5" t="s">
        <v>2</v>
      </c>
      <c r="AI59" s="5" t="s">
        <v>509</v>
      </c>
      <c r="AJ59" s="5" t="s">
        <v>509</v>
      </c>
      <c r="AK59" s="21" t="s">
        <v>2</v>
      </c>
      <c r="AL59" s="72" t="s">
        <v>3894</v>
      </c>
      <c r="AM59" s="54" t="s">
        <v>4179</v>
      </c>
      <c r="AN59" s="34" t="s">
        <v>1625</v>
      </c>
    </row>
    <row r="60" spans="2:40" x14ac:dyDescent="0.3">
      <c r="B60" s="18" t="s">
        <v>3058</v>
      </c>
      <c r="C60" s="47" t="s">
        <v>1406</v>
      </c>
      <c r="D60" s="15" t="s">
        <v>3413</v>
      </c>
      <c r="E60" s="68" t="s">
        <v>2</v>
      </c>
      <c r="F60" s="55" t="s">
        <v>2</v>
      </c>
      <c r="G60" s="40" t="s">
        <v>2745</v>
      </c>
      <c r="H60" s="71" t="s">
        <v>2745</v>
      </c>
      <c r="I60" s="67" t="s">
        <v>1164</v>
      </c>
      <c r="J60" s="73" t="s">
        <v>270</v>
      </c>
      <c r="K60" s="4">
        <v>1500000</v>
      </c>
      <c r="L60" s="41">
        <v>77.399000000000001</v>
      </c>
      <c r="M60" s="4">
        <v>1160985</v>
      </c>
      <c r="N60" s="4">
        <v>1500000</v>
      </c>
      <c r="O60" s="4">
        <v>1500000</v>
      </c>
      <c r="P60" s="4">
        <v>0</v>
      </c>
      <c r="Q60" s="4">
        <v>0</v>
      </c>
      <c r="R60" s="4">
        <v>0</v>
      </c>
      <c r="S60" s="4">
        <v>0</v>
      </c>
      <c r="T60" s="23">
        <v>1.6319999999999999</v>
      </c>
      <c r="U60" s="23">
        <v>1.6319999999999999</v>
      </c>
      <c r="V60" s="5" t="s">
        <v>3409</v>
      </c>
      <c r="W60" s="4">
        <v>4080</v>
      </c>
      <c r="X60" s="4">
        <v>24480</v>
      </c>
      <c r="Y60" s="14">
        <v>44036</v>
      </c>
      <c r="Z60" s="14">
        <v>48153</v>
      </c>
      <c r="AA60" s="70" t="s">
        <v>10</v>
      </c>
      <c r="AB60" s="69" t="s">
        <v>3892</v>
      </c>
      <c r="AC60" s="5" t="s">
        <v>7</v>
      </c>
      <c r="AD60" s="2"/>
      <c r="AE60" s="14">
        <v>47788</v>
      </c>
      <c r="AF60" s="23">
        <v>100</v>
      </c>
      <c r="AG60" s="6"/>
      <c r="AH60" s="5" t="s">
        <v>2</v>
      </c>
      <c r="AI60" s="5" t="s">
        <v>509</v>
      </c>
      <c r="AJ60" s="5" t="s">
        <v>509</v>
      </c>
      <c r="AK60" s="21" t="s">
        <v>2</v>
      </c>
      <c r="AL60" s="72" t="s">
        <v>3894</v>
      </c>
      <c r="AM60" s="54" t="s">
        <v>4179</v>
      </c>
      <c r="AN60" s="34" t="s">
        <v>1625</v>
      </c>
    </row>
    <row r="61" spans="2:40" x14ac:dyDescent="0.3">
      <c r="B61" s="18" t="s">
        <v>4189</v>
      </c>
      <c r="C61" s="47" t="s">
        <v>792</v>
      </c>
      <c r="D61" s="15" t="s">
        <v>2749</v>
      </c>
      <c r="E61" s="68" t="s">
        <v>2</v>
      </c>
      <c r="F61" s="55" t="s">
        <v>2</v>
      </c>
      <c r="G61" s="40" t="s">
        <v>3894</v>
      </c>
      <c r="H61" s="71" t="s">
        <v>2745</v>
      </c>
      <c r="I61" s="67" t="s">
        <v>1164</v>
      </c>
      <c r="J61" s="73" t="s">
        <v>270</v>
      </c>
      <c r="K61" s="4">
        <v>8345000</v>
      </c>
      <c r="L61" s="41">
        <v>75.41</v>
      </c>
      <c r="M61" s="4">
        <v>6292965</v>
      </c>
      <c r="N61" s="4">
        <v>8345000</v>
      </c>
      <c r="O61" s="4">
        <v>8345000</v>
      </c>
      <c r="P61" s="4">
        <v>0</v>
      </c>
      <c r="Q61" s="4">
        <v>0</v>
      </c>
      <c r="R61" s="4">
        <v>0</v>
      </c>
      <c r="S61" s="4">
        <v>0</v>
      </c>
      <c r="T61" s="23">
        <v>2.073</v>
      </c>
      <c r="U61" s="23">
        <v>2.073</v>
      </c>
      <c r="V61" s="5" t="s">
        <v>3898</v>
      </c>
      <c r="W61" s="4">
        <v>481</v>
      </c>
      <c r="X61" s="4">
        <v>172992</v>
      </c>
      <c r="Y61" s="14">
        <v>44420</v>
      </c>
      <c r="Z61" s="14">
        <v>48395</v>
      </c>
      <c r="AA61" s="70" t="s">
        <v>1165</v>
      </c>
      <c r="AB61" s="69" t="s">
        <v>3892</v>
      </c>
      <c r="AC61" s="5" t="s">
        <v>7</v>
      </c>
      <c r="AD61" s="2"/>
      <c r="AE61" s="14">
        <v>48029</v>
      </c>
      <c r="AF61" s="23">
        <v>100</v>
      </c>
      <c r="AG61" s="6"/>
      <c r="AH61" s="5" t="s">
        <v>2</v>
      </c>
      <c r="AI61" s="5" t="s">
        <v>2749</v>
      </c>
      <c r="AJ61" s="5" t="s">
        <v>2</v>
      </c>
      <c r="AK61" s="21" t="s">
        <v>2</v>
      </c>
      <c r="AL61" s="72" t="s">
        <v>3894</v>
      </c>
      <c r="AM61" s="54" t="s">
        <v>4179</v>
      </c>
      <c r="AN61" s="34" t="s">
        <v>1625</v>
      </c>
    </row>
    <row r="62" spans="2:40" x14ac:dyDescent="0.3">
      <c r="B62" s="18" t="s">
        <v>793</v>
      </c>
      <c r="C62" s="47" t="s">
        <v>510</v>
      </c>
      <c r="D62" s="15" t="s">
        <v>2749</v>
      </c>
      <c r="E62" s="68" t="s">
        <v>2</v>
      </c>
      <c r="F62" s="55" t="s">
        <v>2</v>
      </c>
      <c r="G62" s="40" t="s">
        <v>3894</v>
      </c>
      <c r="H62" s="71" t="s">
        <v>2745</v>
      </c>
      <c r="I62" s="67" t="s">
        <v>1164</v>
      </c>
      <c r="J62" s="73" t="s">
        <v>270</v>
      </c>
      <c r="K62" s="4">
        <v>3000000</v>
      </c>
      <c r="L62" s="41">
        <v>74.477999999999994</v>
      </c>
      <c r="M62" s="4">
        <v>2234340</v>
      </c>
      <c r="N62" s="4">
        <v>3000000</v>
      </c>
      <c r="O62" s="4">
        <v>3000000</v>
      </c>
      <c r="P62" s="4">
        <v>0</v>
      </c>
      <c r="Q62" s="4">
        <v>0</v>
      </c>
      <c r="R62" s="4">
        <v>0</v>
      </c>
      <c r="S62" s="4">
        <v>0</v>
      </c>
      <c r="T62" s="23">
        <v>2.2229999999999999</v>
      </c>
      <c r="U62" s="23">
        <v>2.2229999999999999</v>
      </c>
      <c r="V62" s="5" t="s">
        <v>3898</v>
      </c>
      <c r="W62" s="4">
        <v>185</v>
      </c>
      <c r="X62" s="4">
        <v>66690</v>
      </c>
      <c r="Y62" s="14">
        <v>44420</v>
      </c>
      <c r="Z62" s="14">
        <v>48760</v>
      </c>
      <c r="AA62" s="70" t="s">
        <v>1165</v>
      </c>
      <c r="AB62" s="69" t="s">
        <v>3892</v>
      </c>
      <c r="AC62" s="5" t="s">
        <v>7</v>
      </c>
      <c r="AD62" s="2"/>
      <c r="AE62" s="14">
        <v>48029</v>
      </c>
      <c r="AF62" s="23">
        <v>100</v>
      </c>
      <c r="AG62" s="6"/>
      <c r="AH62" s="5" t="s">
        <v>2</v>
      </c>
      <c r="AI62" s="5" t="s">
        <v>2749</v>
      </c>
      <c r="AJ62" s="5" t="s">
        <v>2</v>
      </c>
      <c r="AK62" s="21" t="s">
        <v>2</v>
      </c>
      <c r="AL62" s="72" t="s">
        <v>3894</v>
      </c>
      <c r="AM62" s="54" t="s">
        <v>4179</v>
      </c>
      <c r="AN62" s="34" t="s">
        <v>1625</v>
      </c>
    </row>
    <row r="63" spans="2:40" x14ac:dyDescent="0.3">
      <c r="B63" s="18" t="s">
        <v>2273</v>
      </c>
      <c r="C63" s="47" t="s">
        <v>2537</v>
      </c>
      <c r="D63" s="15" t="s">
        <v>1407</v>
      </c>
      <c r="E63" s="68" t="s">
        <v>2</v>
      </c>
      <c r="F63" s="55" t="s">
        <v>2</v>
      </c>
      <c r="G63" s="40" t="s">
        <v>3894</v>
      </c>
      <c r="H63" s="71" t="s">
        <v>2745</v>
      </c>
      <c r="I63" s="67" t="s">
        <v>1164</v>
      </c>
      <c r="J63" s="73" t="s">
        <v>270</v>
      </c>
      <c r="K63" s="4">
        <v>12000000</v>
      </c>
      <c r="L63" s="41">
        <v>77.233999999999995</v>
      </c>
      <c r="M63" s="4">
        <v>9268080</v>
      </c>
      <c r="N63" s="4">
        <v>12000000</v>
      </c>
      <c r="O63" s="4">
        <v>12000000</v>
      </c>
      <c r="P63" s="4">
        <v>0</v>
      </c>
      <c r="Q63" s="4">
        <v>0</v>
      </c>
      <c r="R63" s="4">
        <v>0</v>
      </c>
      <c r="S63" s="4">
        <v>0</v>
      </c>
      <c r="T63" s="23">
        <v>2.0369999999999999</v>
      </c>
      <c r="U63" s="23">
        <v>2.0369999999999999</v>
      </c>
      <c r="V63" s="5" t="s">
        <v>3898</v>
      </c>
      <c r="W63" s="4">
        <v>679</v>
      </c>
      <c r="X63" s="4">
        <v>244440</v>
      </c>
      <c r="Y63" s="9">
        <v>44400</v>
      </c>
      <c r="Z63" s="9">
        <v>48395</v>
      </c>
      <c r="AA63" s="70" t="s">
        <v>1165</v>
      </c>
      <c r="AB63" s="69" t="s">
        <v>3892</v>
      </c>
      <c r="AC63" s="5" t="s">
        <v>7</v>
      </c>
      <c r="AD63" s="2"/>
      <c r="AE63" s="9">
        <v>48029</v>
      </c>
      <c r="AF63" s="23">
        <v>100</v>
      </c>
      <c r="AG63" s="6"/>
      <c r="AH63" s="5" t="s">
        <v>2</v>
      </c>
      <c r="AI63" s="5" t="s">
        <v>3059</v>
      </c>
      <c r="AJ63" s="5" t="s">
        <v>1627</v>
      </c>
      <c r="AK63" s="21" t="s">
        <v>2</v>
      </c>
      <c r="AL63" s="72" t="s">
        <v>3894</v>
      </c>
      <c r="AM63" s="54" t="s">
        <v>4179</v>
      </c>
      <c r="AN63" s="34" t="s">
        <v>1625</v>
      </c>
    </row>
    <row r="64" spans="2:40" x14ac:dyDescent="0.3">
      <c r="B64" s="18" t="s">
        <v>3415</v>
      </c>
      <c r="C64" s="47" t="s">
        <v>2538</v>
      </c>
      <c r="D64" s="15" t="s">
        <v>1407</v>
      </c>
      <c r="E64" s="68" t="s">
        <v>2</v>
      </c>
      <c r="F64" s="55" t="s">
        <v>2</v>
      </c>
      <c r="G64" s="40" t="s">
        <v>3894</v>
      </c>
      <c r="H64" s="71" t="s">
        <v>2745</v>
      </c>
      <c r="I64" s="67" t="s">
        <v>1164</v>
      </c>
      <c r="J64" s="73" t="s">
        <v>270</v>
      </c>
      <c r="K64" s="4">
        <v>8500000</v>
      </c>
      <c r="L64" s="41">
        <v>76.587000000000003</v>
      </c>
      <c r="M64" s="4">
        <v>6509895</v>
      </c>
      <c r="N64" s="4">
        <v>8500000</v>
      </c>
      <c r="O64" s="4">
        <v>8500000</v>
      </c>
      <c r="P64" s="4">
        <v>0</v>
      </c>
      <c r="Q64" s="4">
        <v>0</v>
      </c>
      <c r="R64" s="4">
        <v>0</v>
      </c>
      <c r="S64" s="4">
        <v>0</v>
      </c>
      <c r="T64" s="23">
        <v>2.2069999999999999</v>
      </c>
      <c r="U64" s="23">
        <v>2.2069999999999999</v>
      </c>
      <c r="V64" s="5" t="s">
        <v>3898</v>
      </c>
      <c r="W64" s="4">
        <v>521</v>
      </c>
      <c r="X64" s="4">
        <v>187595</v>
      </c>
      <c r="Y64" s="9">
        <v>44400</v>
      </c>
      <c r="Z64" s="9">
        <v>48760</v>
      </c>
      <c r="AA64" s="70" t="s">
        <v>1165</v>
      </c>
      <c r="AB64" s="69" t="s">
        <v>3892</v>
      </c>
      <c r="AC64" s="5" t="s">
        <v>7</v>
      </c>
      <c r="AD64" s="2"/>
      <c r="AE64" s="9">
        <v>48029</v>
      </c>
      <c r="AF64" s="23">
        <v>100</v>
      </c>
      <c r="AG64" s="6"/>
      <c r="AH64" s="5" t="s">
        <v>2</v>
      </c>
      <c r="AI64" s="5" t="s">
        <v>3059</v>
      </c>
      <c r="AJ64" s="5" t="s">
        <v>1627</v>
      </c>
      <c r="AK64" s="21" t="s">
        <v>2</v>
      </c>
      <c r="AL64" s="72" t="s">
        <v>3894</v>
      </c>
      <c r="AM64" s="54" t="s">
        <v>4179</v>
      </c>
      <c r="AN64" s="34" t="s">
        <v>1625</v>
      </c>
    </row>
    <row r="65" spans="2:40" x14ac:dyDescent="0.3">
      <c r="B65" s="18" t="s">
        <v>794</v>
      </c>
      <c r="C65" s="47" t="s">
        <v>795</v>
      </c>
      <c r="D65" s="15" t="s">
        <v>11</v>
      </c>
      <c r="E65" s="68" t="s">
        <v>2</v>
      </c>
      <c r="F65" s="55" t="s">
        <v>2</v>
      </c>
      <c r="G65" s="40" t="s">
        <v>2745</v>
      </c>
      <c r="H65" s="71" t="s">
        <v>2745</v>
      </c>
      <c r="I65" s="67" t="s">
        <v>2274</v>
      </c>
      <c r="J65" s="73" t="s">
        <v>270</v>
      </c>
      <c r="K65" s="4">
        <v>806275</v>
      </c>
      <c r="L65" s="41">
        <v>99.632000000000005</v>
      </c>
      <c r="M65" s="4">
        <v>816982</v>
      </c>
      <c r="N65" s="4">
        <v>820000</v>
      </c>
      <c r="O65" s="4">
        <v>816810</v>
      </c>
      <c r="P65" s="4">
        <v>0</v>
      </c>
      <c r="Q65" s="4">
        <v>935</v>
      </c>
      <c r="R65" s="4">
        <v>0</v>
      </c>
      <c r="S65" s="4">
        <v>0</v>
      </c>
      <c r="T65" s="23">
        <v>4.6500000000000004</v>
      </c>
      <c r="U65" s="23">
        <v>4.8940000000000001</v>
      </c>
      <c r="V65" s="5" t="s">
        <v>268</v>
      </c>
      <c r="W65" s="4">
        <v>14405</v>
      </c>
      <c r="X65" s="4">
        <v>38130</v>
      </c>
      <c r="Y65" s="9">
        <v>42277</v>
      </c>
      <c r="Z65" s="9">
        <v>46068</v>
      </c>
      <c r="AA65" s="70" t="s">
        <v>3060</v>
      </c>
      <c r="AB65" s="69" t="s">
        <v>3892</v>
      </c>
      <c r="AC65" s="5" t="s">
        <v>7</v>
      </c>
      <c r="AD65" s="2"/>
      <c r="AE65" s="6"/>
      <c r="AF65" s="23"/>
      <c r="AG65" s="6"/>
      <c r="AH65" s="5" t="s">
        <v>2</v>
      </c>
      <c r="AI65" s="5" t="s">
        <v>11</v>
      </c>
      <c r="AJ65" s="5" t="s">
        <v>2</v>
      </c>
      <c r="AK65" s="21" t="s">
        <v>2</v>
      </c>
      <c r="AL65" s="72" t="s">
        <v>3894</v>
      </c>
      <c r="AM65" s="54" t="s">
        <v>4179</v>
      </c>
      <c r="AN65" s="34" t="s">
        <v>1408</v>
      </c>
    </row>
    <row r="66" spans="2:40" x14ac:dyDescent="0.3">
      <c r="B66" s="7" t="s">
        <v>2744</v>
      </c>
      <c r="C66" s="1" t="s">
        <v>2744</v>
      </c>
      <c r="D66" s="8" t="s">
        <v>2744</v>
      </c>
      <c r="E66" s="1" t="s">
        <v>2744</v>
      </c>
      <c r="F66" s="1" t="s">
        <v>2744</v>
      </c>
      <c r="G66" s="1" t="s">
        <v>2744</v>
      </c>
      <c r="H66" s="1" t="s">
        <v>2744</v>
      </c>
      <c r="I66" s="1" t="s">
        <v>2744</v>
      </c>
      <c r="J66" s="1" t="s">
        <v>2744</v>
      </c>
      <c r="K66" s="1" t="s">
        <v>2744</v>
      </c>
      <c r="L66" s="1" t="s">
        <v>2744</v>
      </c>
      <c r="M66" s="1" t="s">
        <v>2744</v>
      </c>
      <c r="N66" s="1" t="s">
        <v>2744</v>
      </c>
      <c r="O66" s="1" t="s">
        <v>2744</v>
      </c>
      <c r="P66" s="1" t="s">
        <v>2744</v>
      </c>
      <c r="Q66" s="1" t="s">
        <v>2744</v>
      </c>
      <c r="R66" s="1" t="s">
        <v>2744</v>
      </c>
      <c r="S66" s="1" t="s">
        <v>2744</v>
      </c>
      <c r="T66" s="1" t="s">
        <v>2744</v>
      </c>
      <c r="U66" s="1" t="s">
        <v>2744</v>
      </c>
      <c r="V66" s="1" t="s">
        <v>2744</v>
      </c>
      <c r="W66" s="1" t="s">
        <v>2744</v>
      </c>
      <c r="X66" s="1" t="s">
        <v>2744</v>
      </c>
      <c r="Y66" s="1" t="s">
        <v>2744</v>
      </c>
      <c r="Z66" s="1" t="s">
        <v>2744</v>
      </c>
      <c r="AA66" s="1" t="s">
        <v>2744</v>
      </c>
      <c r="AB66" s="1" t="s">
        <v>2744</v>
      </c>
      <c r="AC66" s="1" t="s">
        <v>2744</v>
      </c>
      <c r="AD66" s="1" t="s">
        <v>2744</v>
      </c>
      <c r="AE66" s="1" t="s">
        <v>2744</v>
      </c>
      <c r="AF66" s="1" t="s">
        <v>2744</v>
      </c>
      <c r="AG66" s="1" t="s">
        <v>2744</v>
      </c>
      <c r="AH66" s="1" t="s">
        <v>2744</v>
      </c>
      <c r="AI66" s="1" t="s">
        <v>2744</v>
      </c>
      <c r="AJ66" s="1" t="s">
        <v>2744</v>
      </c>
      <c r="AK66" s="1" t="s">
        <v>2744</v>
      </c>
      <c r="AL66" s="1" t="s">
        <v>2744</v>
      </c>
      <c r="AM66" s="1" t="s">
        <v>2744</v>
      </c>
      <c r="AN66" s="1" t="s">
        <v>2744</v>
      </c>
    </row>
    <row r="67" spans="2:40" ht="42" x14ac:dyDescent="0.3">
      <c r="B67" s="19" t="s">
        <v>2750</v>
      </c>
      <c r="C67" s="17" t="s">
        <v>2275</v>
      </c>
      <c r="D67" s="16"/>
      <c r="E67" s="2"/>
      <c r="F67" s="2"/>
      <c r="G67" s="2"/>
      <c r="H67" s="2"/>
      <c r="I67" s="2"/>
      <c r="J67" s="2"/>
      <c r="K67" s="3">
        <f>SUM(GMIC_22A_SCDPT1!SCDPT1_041BEGINNG_7:GMIC_22A_SCDPT1!SCDPT1_041ENDINGG_7)</f>
        <v>48942925</v>
      </c>
      <c r="L67" s="2"/>
      <c r="M67" s="3">
        <f>SUM(GMIC_22A_SCDPT1!SCDPT1_041BEGINNG_9:GMIC_22A_SCDPT1!SCDPT1_041ENDINGG_9)</f>
        <v>37606877</v>
      </c>
      <c r="N67" s="3">
        <f>SUM(GMIC_22A_SCDPT1!SCDPT1_041BEGINNG_10:GMIC_22A_SCDPT1!SCDPT1_041ENDINGG_10)</f>
        <v>48760000</v>
      </c>
      <c r="O67" s="3">
        <f>SUM(GMIC_22A_SCDPT1!SCDPT1_041BEGINNG_11:GMIC_22A_SCDPT1!SCDPT1_041ENDINGG_11)</f>
        <v>48934391</v>
      </c>
      <c r="P67" s="3">
        <f>SUM(GMIC_22A_SCDPT1!SCDPT1_041BEGINNG_12:GMIC_22A_SCDPT1!SCDPT1_041ENDINGG_12)</f>
        <v>0</v>
      </c>
      <c r="Q67" s="3">
        <f>SUM(GMIC_22A_SCDPT1!SCDPT1_041BEGINNG_13:GMIC_22A_SCDPT1!SCDPT1_041ENDINGG_13)</f>
        <v>-17583</v>
      </c>
      <c r="R67" s="3">
        <f>SUM(GMIC_22A_SCDPT1!SCDPT1_041BEGINNG_14:GMIC_22A_SCDPT1!SCDPT1_041ENDINGG_14)</f>
        <v>0</v>
      </c>
      <c r="S67" s="3">
        <f>SUM(GMIC_22A_SCDPT1!SCDPT1_041BEGINNG_15:GMIC_22A_SCDPT1!SCDPT1_041ENDINGG_15)</f>
        <v>0</v>
      </c>
      <c r="T67" s="2"/>
      <c r="U67" s="2"/>
      <c r="V67" s="2"/>
      <c r="W67" s="3">
        <f>SUM(GMIC_22A_SCDPT1!SCDPT1_041BEGINNG_19:GMIC_22A_SCDPT1!SCDPT1_041ENDINGG_19)</f>
        <v>90819</v>
      </c>
      <c r="X67" s="3">
        <f>SUM(GMIC_22A_SCDPT1!SCDPT1_041BEGINNG_20:GMIC_22A_SCDPT1!SCDPT1_041ENDINGG_20)</f>
        <v>1035059</v>
      </c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2:40" x14ac:dyDescent="0.3">
      <c r="B68" s="7" t="s">
        <v>2744</v>
      </c>
      <c r="C68" s="1" t="s">
        <v>2744</v>
      </c>
      <c r="D68" s="8" t="s">
        <v>2744</v>
      </c>
      <c r="E68" s="1" t="s">
        <v>2744</v>
      </c>
      <c r="F68" s="1" t="s">
        <v>2744</v>
      </c>
      <c r="G68" s="1" t="s">
        <v>2744</v>
      </c>
      <c r="H68" s="1" t="s">
        <v>2744</v>
      </c>
      <c r="I68" s="1" t="s">
        <v>2744</v>
      </c>
      <c r="J68" s="1" t="s">
        <v>2744</v>
      </c>
      <c r="K68" s="1" t="s">
        <v>2744</v>
      </c>
      <c r="L68" s="1" t="s">
        <v>2744</v>
      </c>
      <c r="M68" s="1" t="s">
        <v>2744</v>
      </c>
      <c r="N68" s="1" t="s">
        <v>2744</v>
      </c>
      <c r="O68" s="1" t="s">
        <v>2744</v>
      </c>
      <c r="P68" s="1" t="s">
        <v>2744</v>
      </c>
      <c r="Q68" s="1" t="s">
        <v>2744</v>
      </c>
      <c r="R68" s="1" t="s">
        <v>2744</v>
      </c>
      <c r="S68" s="1" t="s">
        <v>2744</v>
      </c>
      <c r="T68" s="1" t="s">
        <v>2744</v>
      </c>
      <c r="U68" s="1" t="s">
        <v>2744</v>
      </c>
      <c r="V68" s="1" t="s">
        <v>2744</v>
      </c>
      <c r="W68" s="1" t="s">
        <v>2744</v>
      </c>
      <c r="X68" s="1" t="s">
        <v>2744</v>
      </c>
      <c r="Y68" s="1" t="s">
        <v>2744</v>
      </c>
      <c r="Z68" s="1" t="s">
        <v>2744</v>
      </c>
      <c r="AA68" s="1" t="s">
        <v>2744</v>
      </c>
      <c r="AB68" s="1" t="s">
        <v>2744</v>
      </c>
      <c r="AC68" s="1" t="s">
        <v>2744</v>
      </c>
      <c r="AD68" s="1" t="s">
        <v>2744</v>
      </c>
      <c r="AE68" s="1" t="s">
        <v>2744</v>
      </c>
      <c r="AF68" s="1" t="s">
        <v>2744</v>
      </c>
      <c r="AG68" s="1" t="s">
        <v>2744</v>
      </c>
      <c r="AH68" s="1" t="s">
        <v>2744</v>
      </c>
      <c r="AI68" s="1" t="s">
        <v>2744</v>
      </c>
      <c r="AJ68" s="1" t="s">
        <v>2744</v>
      </c>
      <c r="AK68" s="1" t="s">
        <v>2744</v>
      </c>
      <c r="AL68" s="1" t="s">
        <v>2744</v>
      </c>
      <c r="AM68" s="1" t="s">
        <v>2744</v>
      </c>
      <c r="AN68" s="1" t="s">
        <v>2744</v>
      </c>
    </row>
    <row r="69" spans="2:40" x14ac:dyDescent="0.3">
      <c r="B69" s="18" t="s">
        <v>1166</v>
      </c>
      <c r="C69" s="25" t="s">
        <v>3897</v>
      </c>
      <c r="D69" s="15" t="s">
        <v>2</v>
      </c>
      <c r="E69" s="37" t="s">
        <v>2</v>
      </c>
      <c r="F69" s="20" t="s">
        <v>2</v>
      </c>
      <c r="G69" s="40" t="s">
        <v>2</v>
      </c>
      <c r="H69" s="32" t="s">
        <v>2</v>
      </c>
      <c r="I69" s="33" t="s">
        <v>2</v>
      </c>
      <c r="J69" s="38" t="s">
        <v>2</v>
      </c>
      <c r="K69" s="4"/>
      <c r="L69" s="41"/>
      <c r="M69" s="4"/>
      <c r="N69" s="4"/>
      <c r="O69" s="4"/>
      <c r="P69" s="4"/>
      <c r="Q69" s="4"/>
      <c r="R69" s="4"/>
      <c r="S69" s="4"/>
      <c r="T69" s="23"/>
      <c r="U69" s="23"/>
      <c r="V69" s="5" t="s">
        <v>2</v>
      </c>
      <c r="W69" s="4"/>
      <c r="X69" s="4"/>
      <c r="Y69" s="6"/>
      <c r="Z69" s="6"/>
      <c r="AA69" s="45" t="s">
        <v>2</v>
      </c>
      <c r="AB69" s="31" t="s">
        <v>2</v>
      </c>
      <c r="AC69" s="5" t="s">
        <v>2</v>
      </c>
      <c r="AD69" s="43" t="s">
        <v>2</v>
      </c>
      <c r="AE69" s="6"/>
      <c r="AF69" s="23"/>
      <c r="AG69" s="6"/>
      <c r="AH69" s="5" t="s">
        <v>2</v>
      </c>
      <c r="AI69" s="5" t="s">
        <v>2</v>
      </c>
      <c r="AJ69" s="5" t="s">
        <v>2</v>
      </c>
      <c r="AK69" s="21" t="s">
        <v>2</v>
      </c>
      <c r="AL69" s="39" t="s">
        <v>2</v>
      </c>
      <c r="AM69" s="26" t="s">
        <v>2</v>
      </c>
      <c r="AN69" s="34" t="s">
        <v>2</v>
      </c>
    </row>
    <row r="70" spans="2:40" x14ac:dyDescent="0.3">
      <c r="B70" s="7" t="s">
        <v>2744</v>
      </c>
      <c r="C70" s="1" t="s">
        <v>2744</v>
      </c>
      <c r="D70" s="8" t="s">
        <v>2744</v>
      </c>
      <c r="E70" s="1" t="s">
        <v>2744</v>
      </c>
      <c r="F70" s="1" t="s">
        <v>2744</v>
      </c>
      <c r="G70" s="1" t="s">
        <v>2744</v>
      </c>
      <c r="H70" s="1" t="s">
        <v>2744</v>
      </c>
      <c r="I70" s="1" t="s">
        <v>2744</v>
      </c>
      <c r="J70" s="1" t="s">
        <v>2744</v>
      </c>
      <c r="K70" s="1" t="s">
        <v>2744</v>
      </c>
      <c r="L70" s="1" t="s">
        <v>2744</v>
      </c>
      <c r="M70" s="1" t="s">
        <v>2744</v>
      </c>
      <c r="N70" s="1" t="s">
        <v>2744</v>
      </c>
      <c r="O70" s="1" t="s">
        <v>2744</v>
      </c>
      <c r="P70" s="1" t="s">
        <v>2744</v>
      </c>
      <c r="Q70" s="1" t="s">
        <v>2744</v>
      </c>
      <c r="R70" s="1" t="s">
        <v>2744</v>
      </c>
      <c r="S70" s="1" t="s">
        <v>2744</v>
      </c>
      <c r="T70" s="1" t="s">
        <v>2744</v>
      </c>
      <c r="U70" s="1" t="s">
        <v>2744</v>
      </c>
      <c r="V70" s="1" t="s">
        <v>2744</v>
      </c>
      <c r="W70" s="1" t="s">
        <v>2744</v>
      </c>
      <c r="X70" s="1" t="s">
        <v>2744</v>
      </c>
      <c r="Y70" s="1" t="s">
        <v>2744</v>
      </c>
      <c r="Z70" s="1" t="s">
        <v>2744</v>
      </c>
      <c r="AA70" s="1" t="s">
        <v>2744</v>
      </c>
      <c r="AB70" s="1" t="s">
        <v>2744</v>
      </c>
      <c r="AC70" s="1" t="s">
        <v>2744</v>
      </c>
      <c r="AD70" s="1" t="s">
        <v>2744</v>
      </c>
      <c r="AE70" s="1" t="s">
        <v>2744</v>
      </c>
      <c r="AF70" s="1" t="s">
        <v>2744</v>
      </c>
      <c r="AG70" s="1" t="s">
        <v>2744</v>
      </c>
      <c r="AH70" s="1" t="s">
        <v>2744</v>
      </c>
      <c r="AI70" s="1" t="s">
        <v>2744</v>
      </c>
      <c r="AJ70" s="1" t="s">
        <v>2744</v>
      </c>
      <c r="AK70" s="1" t="s">
        <v>2744</v>
      </c>
      <c r="AL70" s="1" t="s">
        <v>2744</v>
      </c>
      <c r="AM70" s="1" t="s">
        <v>2744</v>
      </c>
      <c r="AN70" s="1" t="s">
        <v>2744</v>
      </c>
    </row>
    <row r="71" spans="2:40" ht="56" x14ac:dyDescent="0.3">
      <c r="B71" s="19" t="s">
        <v>1925</v>
      </c>
      <c r="C71" s="17" t="s">
        <v>1409</v>
      </c>
      <c r="D71" s="16"/>
      <c r="E71" s="2"/>
      <c r="F71" s="2"/>
      <c r="G71" s="2"/>
      <c r="H71" s="2"/>
      <c r="I71" s="2"/>
      <c r="J71" s="2"/>
      <c r="K71" s="3">
        <f>SUM(GMIC_22A_SCDPT1!SCDPT1_042BEGINNG_7:GMIC_22A_SCDPT1!SCDPT1_042ENDINGG_7)</f>
        <v>0</v>
      </c>
      <c r="L71" s="2"/>
      <c r="M71" s="3">
        <f>SUM(GMIC_22A_SCDPT1!SCDPT1_042BEGINNG_9:GMIC_22A_SCDPT1!SCDPT1_042ENDINGG_9)</f>
        <v>0</v>
      </c>
      <c r="N71" s="3">
        <f>SUM(GMIC_22A_SCDPT1!SCDPT1_042BEGINNG_10:GMIC_22A_SCDPT1!SCDPT1_042ENDINGG_10)</f>
        <v>0</v>
      </c>
      <c r="O71" s="3">
        <f>SUM(GMIC_22A_SCDPT1!SCDPT1_042BEGINNG_11:GMIC_22A_SCDPT1!SCDPT1_042ENDINGG_11)</f>
        <v>0</v>
      </c>
      <c r="P71" s="3">
        <f>SUM(GMIC_22A_SCDPT1!SCDPT1_042BEGINNG_12:GMIC_22A_SCDPT1!SCDPT1_042ENDINGG_12)</f>
        <v>0</v>
      </c>
      <c r="Q71" s="3">
        <f>SUM(GMIC_22A_SCDPT1!SCDPT1_042BEGINNG_13:GMIC_22A_SCDPT1!SCDPT1_042ENDINGG_13)</f>
        <v>0</v>
      </c>
      <c r="R71" s="3">
        <f>SUM(GMIC_22A_SCDPT1!SCDPT1_042BEGINNG_14:GMIC_22A_SCDPT1!SCDPT1_042ENDINGG_14)</f>
        <v>0</v>
      </c>
      <c r="S71" s="3">
        <f>SUM(GMIC_22A_SCDPT1!SCDPT1_042BEGINNG_15:GMIC_22A_SCDPT1!SCDPT1_042ENDINGG_15)</f>
        <v>0</v>
      </c>
      <c r="T71" s="2"/>
      <c r="U71" s="2"/>
      <c r="V71" s="2"/>
      <c r="W71" s="3">
        <f>SUM(GMIC_22A_SCDPT1!SCDPT1_042BEGINNG_19:GMIC_22A_SCDPT1!SCDPT1_042ENDINGG_19)</f>
        <v>0</v>
      </c>
      <c r="X71" s="3">
        <f>SUM(GMIC_22A_SCDPT1!SCDPT1_042BEGINNG_20:GMIC_22A_SCDPT1!SCDPT1_042ENDINGG_20)</f>
        <v>0</v>
      </c>
      <c r="Y71" s="29"/>
      <c r="Z71" s="29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2:40" x14ac:dyDescent="0.3">
      <c r="B72" s="7" t="s">
        <v>2744</v>
      </c>
      <c r="C72" s="1" t="s">
        <v>2744</v>
      </c>
      <c r="D72" s="8" t="s">
        <v>2744</v>
      </c>
      <c r="E72" s="1" t="s">
        <v>2744</v>
      </c>
      <c r="F72" s="1" t="s">
        <v>2744</v>
      </c>
      <c r="G72" s="1" t="s">
        <v>2744</v>
      </c>
      <c r="H72" s="1" t="s">
        <v>2744</v>
      </c>
      <c r="I72" s="1" t="s">
        <v>2744</v>
      </c>
      <c r="J72" s="1" t="s">
        <v>2744</v>
      </c>
      <c r="K72" s="1" t="s">
        <v>2744</v>
      </c>
      <c r="L72" s="1" t="s">
        <v>2744</v>
      </c>
      <c r="M72" s="1" t="s">
        <v>2744</v>
      </c>
      <c r="N72" s="1" t="s">
        <v>2744</v>
      </c>
      <c r="O72" s="1" t="s">
        <v>2744</v>
      </c>
      <c r="P72" s="1" t="s">
        <v>2744</v>
      </c>
      <c r="Q72" s="1" t="s">
        <v>2744</v>
      </c>
      <c r="R72" s="1" t="s">
        <v>2744</v>
      </c>
      <c r="S72" s="1" t="s">
        <v>2744</v>
      </c>
      <c r="T72" s="1" t="s">
        <v>2744</v>
      </c>
      <c r="U72" s="1" t="s">
        <v>2744</v>
      </c>
      <c r="V72" s="1" t="s">
        <v>2744</v>
      </c>
      <c r="W72" s="1" t="s">
        <v>2744</v>
      </c>
      <c r="X72" s="1" t="s">
        <v>2744</v>
      </c>
      <c r="Y72" s="22" t="s">
        <v>2744</v>
      </c>
      <c r="Z72" s="22" t="s">
        <v>2744</v>
      </c>
      <c r="AA72" s="1" t="s">
        <v>2744</v>
      </c>
      <c r="AB72" s="1" t="s">
        <v>2744</v>
      </c>
      <c r="AC72" s="1" t="s">
        <v>2744</v>
      </c>
      <c r="AD72" s="1" t="s">
        <v>2744</v>
      </c>
      <c r="AE72" s="1" t="s">
        <v>2744</v>
      </c>
      <c r="AF72" s="1" t="s">
        <v>2744</v>
      </c>
      <c r="AG72" s="1" t="s">
        <v>2744</v>
      </c>
      <c r="AH72" s="1" t="s">
        <v>2744</v>
      </c>
      <c r="AI72" s="1" t="s">
        <v>2744</v>
      </c>
      <c r="AJ72" s="1" t="s">
        <v>2744</v>
      </c>
      <c r="AK72" s="1" t="s">
        <v>2744</v>
      </c>
      <c r="AL72" s="1" t="s">
        <v>2744</v>
      </c>
      <c r="AM72" s="1" t="s">
        <v>2744</v>
      </c>
      <c r="AN72" s="1" t="s">
        <v>2744</v>
      </c>
    </row>
    <row r="73" spans="2:40" x14ac:dyDescent="0.3">
      <c r="B73" s="18" t="s">
        <v>271</v>
      </c>
      <c r="C73" s="25" t="s">
        <v>3897</v>
      </c>
      <c r="D73" s="15" t="s">
        <v>2</v>
      </c>
      <c r="E73" s="37" t="s">
        <v>2</v>
      </c>
      <c r="F73" s="20" t="s">
        <v>2</v>
      </c>
      <c r="G73" s="40" t="s">
        <v>2</v>
      </c>
      <c r="H73" s="32" t="s">
        <v>2</v>
      </c>
      <c r="I73" s="33" t="s">
        <v>2</v>
      </c>
      <c r="J73" s="38" t="s">
        <v>2</v>
      </c>
      <c r="K73" s="4"/>
      <c r="L73" s="41"/>
      <c r="M73" s="4"/>
      <c r="N73" s="4"/>
      <c r="O73" s="4"/>
      <c r="P73" s="4"/>
      <c r="Q73" s="4"/>
      <c r="R73" s="4"/>
      <c r="S73" s="4"/>
      <c r="T73" s="23"/>
      <c r="U73" s="23"/>
      <c r="V73" s="5" t="s">
        <v>2</v>
      </c>
      <c r="W73" s="4"/>
      <c r="X73" s="4"/>
      <c r="Y73" s="10"/>
      <c r="Z73" s="10"/>
      <c r="AA73" s="45" t="s">
        <v>2</v>
      </c>
      <c r="AB73" s="31" t="s">
        <v>2</v>
      </c>
      <c r="AC73" s="5" t="s">
        <v>2</v>
      </c>
      <c r="AD73" s="43" t="s">
        <v>2</v>
      </c>
      <c r="AE73" s="6"/>
      <c r="AF73" s="23"/>
      <c r="AG73" s="6"/>
      <c r="AH73" s="5" t="s">
        <v>2</v>
      </c>
      <c r="AI73" s="5" t="s">
        <v>2</v>
      </c>
      <c r="AJ73" s="5" t="s">
        <v>2</v>
      </c>
      <c r="AK73" s="21" t="s">
        <v>2</v>
      </c>
      <c r="AL73" s="39" t="s">
        <v>2</v>
      </c>
      <c r="AM73" s="26" t="s">
        <v>2</v>
      </c>
      <c r="AN73" s="34" t="s">
        <v>2</v>
      </c>
    </row>
    <row r="74" spans="2:40" x14ac:dyDescent="0.3">
      <c r="B74" s="7" t="s">
        <v>2744</v>
      </c>
      <c r="C74" s="1" t="s">
        <v>2744</v>
      </c>
      <c r="D74" s="8" t="s">
        <v>2744</v>
      </c>
      <c r="E74" s="1" t="s">
        <v>2744</v>
      </c>
      <c r="F74" s="1" t="s">
        <v>2744</v>
      </c>
      <c r="G74" s="1" t="s">
        <v>2744</v>
      </c>
      <c r="H74" s="1" t="s">
        <v>2744</v>
      </c>
      <c r="I74" s="1" t="s">
        <v>2744</v>
      </c>
      <c r="J74" s="1" t="s">
        <v>2744</v>
      </c>
      <c r="K74" s="1" t="s">
        <v>2744</v>
      </c>
      <c r="L74" s="1" t="s">
        <v>2744</v>
      </c>
      <c r="M74" s="1" t="s">
        <v>2744</v>
      </c>
      <c r="N74" s="1" t="s">
        <v>2744</v>
      </c>
      <c r="O74" s="1" t="s">
        <v>2744</v>
      </c>
      <c r="P74" s="1" t="s">
        <v>2744</v>
      </c>
      <c r="Q74" s="1" t="s">
        <v>2744</v>
      </c>
      <c r="R74" s="1" t="s">
        <v>2744</v>
      </c>
      <c r="S74" s="1" t="s">
        <v>2744</v>
      </c>
      <c r="T74" s="1" t="s">
        <v>2744</v>
      </c>
      <c r="U74" s="1" t="s">
        <v>2744</v>
      </c>
      <c r="V74" s="1" t="s">
        <v>2744</v>
      </c>
      <c r="W74" s="1" t="s">
        <v>2744</v>
      </c>
      <c r="X74" s="1" t="s">
        <v>2744</v>
      </c>
      <c r="Y74" s="22" t="s">
        <v>2744</v>
      </c>
      <c r="Z74" s="22" t="s">
        <v>2744</v>
      </c>
      <c r="AA74" s="1" t="s">
        <v>2744</v>
      </c>
      <c r="AB74" s="1" t="s">
        <v>2744</v>
      </c>
      <c r="AC74" s="1" t="s">
        <v>2744</v>
      </c>
      <c r="AD74" s="1" t="s">
        <v>2744</v>
      </c>
      <c r="AE74" s="22" t="s">
        <v>2744</v>
      </c>
      <c r="AF74" s="1" t="s">
        <v>2744</v>
      </c>
      <c r="AG74" s="1" t="s">
        <v>2744</v>
      </c>
      <c r="AH74" s="1" t="s">
        <v>2744</v>
      </c>
      <c r="AI74" s="1" t="s">
        <v>2744</v>
      </c>
      <c r="AJ74" s="1" t="s">
        <v>2744</v>
      </c>
      <c r="AK74" s="1" t="s">
        <v>2744</v>
      </c>
      <c r="AL74" s="1" t="s">
        <v>2744</v>
      </c>
      <c r="AM74" s="1" t="s">
        <v>2744</v>
      </c>
      <c r="AN74" s="1" t="s">
        <v>2744</v>
      </c>
    </row>
    <row r="75" spans="2:40" ht="56" x14ac:dyDescent="0.3">
      <c r="B75" s="19" t="s">
        <v>1167</v>
      </c>
      <c r="C75" s="17" t="s">
        <v>511</v>
      </c>
      <c r="D75" s="16"/>
      <c r="E75" s="2"/>
      <c r="F75" s="2"/>
      <c r="G75" s="2"/>
      <c r="H75" s="2"/>
      <c r="I75" s="2"/>
      <c r="J75" s="2"/>
      <c r="K75" s="3">
        <f>SUM(GMIC_22A_SCDPT1!SCDPT1_043BEGINNG_7:GMIC_22A_SCDPT1!SCDPT1_043ENDINGG_7)</f>
        <v>0</v>
      </c>
      <c r="L75" s="2"/>
      <c r="M75" s="3">
        <f>SUM(GMIC_22A_SCDPT1!SCDPT1_043BEGINNG_9:GMIC_22A_SCDPT1!SCDPT1_043ENDINGG_9)</f>
        <v>0</v>
      </c>
      <c r="N75" s="3">
        <f>SUM(GMIC_22A_SCDPT1!SCDPT1_043BEGINNG_10:GMIC_22A_SCDPT1!SCDPT1_043ENDINGG_10)</f>
        <v>0</v>
      </c>
      <c r="O75" s="3">
        <f>SUM(GMIC_22A_SCDPT1!SCDPT1_043BEGINNG_11:GMIC_22A_SCDPT1!SCDPT1_043ENDINGG_11)</f>
        <v>0</v>
      </c>
      <c r="P75" s="3">
        <f>SUM(GMIC_22A_SCDPT1!SCDPT1_043BEGINNG_12:GMIC_22A_SCDPT1!SCDPT1_043ENDINGG_12)</f>
        <v>0</v>
      </c>
      <c r="Q75" s="3">
        <f>SUM(GMIC_22A_SCDPT1!SCDPT1_043BEGINNG_13:GMIC_22A_SCDPT1!SCDPT1_043ENDINGG_13)</f>
        <v>0</v>
      </c>
      <c r="R75" s="3">
        <f>SUM(GMIC_22A_SCDPT1!SCDPT1_043BEGINNG_14:GMIC_22A_SCDPT1!SCDPT1_043ENDINGG_14)</f>
        <v>0</v>
      </c>
      <c r="S75" s="3">
        <f>SUM(GMIC_22A_SCDPT1!SCDPT1_043BEGINNG_15:GMIC_22A_SCDPT1!SCDPT1_043ENDINGG_15)</f>
        <v>0</v>
      </c>
      <c r="T75" s="2"/>
      <c r="U75" s="2"/>
      <c r="V75" s="2"/>
      <c r="W75" s="3">
        <f>SUM(GMIC_22A_SCDPT1!SCDPT1_043BEGINNG_19:GMIC_22A_SCDPT1!SCDPT1_043ENDINGG_19)</f>
        <v>0</v>
      </c>
      <c r="X75" s="3">
        <f>SUM(GMIC_22A_SCDPT1!SCDPT1_043BEGINNG_20:GMIC_22A_SCDPT1!SCDPT1_043ENDINGG_20)</f>
        <v>0</v>
      </c>
      <c r="Y75" s="29"/>
      <c r="Z75" s="29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2:40" x14ac:dyDescent="0.3">
      <c r="B76" s="7" t="s">
        <v>2744</v>
      </c>
      <c r="C76" s="1" t="s">
        <v>2744</v>
      </c>
      <c r="D76" s="8" t="s">
        <v>2744</v>
      </c>
      <c r="E76" s="1" t="s">
        <v>2744</v>
      </c>
      <c r="F76" s="1" t="s">
        <v>2744</v>
      </c>
      <c r="G76" s="1" t="s">
        <v>2744</v>
      </c>
      <c r="H76" s="1" t="s">
        <v>2744</v>
      </c>
      <c r="I76" s="1" t="s">
        <v>2744</v>
      </c>
      <c r="J76" s="1" t="s">
        <v>2744</v>
      </c>
      <c r="K76" s="1" t="s">
        <v>2744</v>
      </c>
      <c r="L76" s="1" t="s">
        <v>2744</v>
      </c>
      <c r="M76" s="1" t="s">
        <v>2744</v>
      </c>
      <c r="N76" s="1" t="s">
        <v>2744</v>
      </c>
      <c r="O76" s="1" t="s">
        <v>2744</v>
      </c>
      <c r="P76" s="1" t="s">
        <v>2744</v>
      </c>
      <c r="Q76" s="1" t="s">
        <v>2744</v>
      </c>
      <c r="R76" s="1" t="s">
        <v>2744</v>
      </c>
      <c r="S76" s="1" t="s">
        <v>2744</v>
      </c>
      <c r="T76" s="1" t="s">
        <v>2744</v>
      </c>
      <c r="U76" s="1" t="s">
        <v>2744</v>
      </c>
      <c r="V76" s="1" t="s">
        <v>2744</v>
      </c>
      <c r="W76" s="1" t="s">
        <v>2744</v>
      </c>
      <c r="X76" s="1" t="s">
        <v>2744</v>
      </c>
      <c r="Y76" s="22" t="s">
        <v>2744</v>
      </c>
      <c r="Z76" s="22" t="s">
        <v>2744</v>
      </c>
      <c r="AA76" s="1" t="s">
        <v>2744</v>
      </c>
      <c r="AB76" s="1" t="s">
        <v>2744</v>
      </c>
      <c r="AC76" s="1" t="s">
        <v>2744</v>
      </c>
      <c r="AD76" s="1" t="s">
        <v>2744</v>
      </c>
      <c r="AE76" s="1" t="s">
        <v>2744</v>
      </c>
      <c r="AF76" s="1" t="s">
        <v>2744</v>
      </c>
      <c r="AG76" s="1" t="s">
        <v>2744</v>
      </c>
      <c r="AH76" s="1" t="s">
        <v>2744</v>
      </c>
      <c r="AI76" s="1" t="s">
        <v>2744</v>
      </c>
      <c r="AJ76" s="1" t="s">
        <v>2744</v>
      </c>
      <c r="AK76" s="1" t="s">
        <v>2744</v>
      </c>
      <c r="AL76" s="1" t="s">
        <v>2744</v>
      </c>
      <c r="AM76" s="1" t="s">
        <v>2744</v>
      </c>
      <c r="AN76" s="1" t="s">
        <v>2744</v>
      </c>
    </row>
    <row r="77" spans="2:40" x14ac:dyDescent="0.3">
      <c r="B77" s="18" t="s">
        <v>3899</v>
      </c>
      <c r="C77" s="25" t="s">
        <v>3897</v>
      </c>
      <c r="D77" s="15" t="s">
        <v>2</v>
      </c>
      <c r="E77" s="37" t="s">
        <v>2</v>
      </c>
      <c r="F77" s="20" t="s">
        <v>2</v>
      </c>
      <c r="G77" s="40" t="s">
        <v>2</v>
      </c>
      <c r="H77" s="32" t="s">
        <v>2</v>
      </c>
      <c r="I77" s="33" t="s">
        <v>2</v>
      </c>
      <c r="J77" s="38" t="s">
        <v>2</v>
      </c>
      <c r="K77" s="4"/>
      <c r="L77" s="41"/>
      <c r="M77" s="4"/>
      <c r="N77" s="4"/>
      <c r="O77" s="4"/>
      <c r="P77" s="4"/>
      <c r="Q77" s="4"/>
      <c r="R77" s="4"/>
      <c r="S77" s="4"/>
      <c r="T77" s="23"/>
      <c r="U77" s="23"/>
      <c r="V77" s="5" t="s">
        <v>2</v>
      </c>
      <c r="W77" s="4"/>
      <c r="X77" s="4"/>
      <c r="Y77" s="10"/>
      <c r="Z77" s="10"/>
      <c r="AA77" s="45" t="s">
        <v>2</v>
      </c>
      <c r="AB77" s="31" t="s">
        <v>2</v>
      </c>
      <c r="AC77" s="5" t="s">
        <v>2</v>
      </c>
      <c r="AD77" s="43" t="s">
        <v>2</v>
      </c>
      <c r="AE77" s="10"/>
      <c r="AF77" s="23"/>
      <c r="AG77" s="10"/>
      <c r="AH77" s="5" t="s">
        <v>2</v>
      </c>
      <c r="AI77" s="5" t="s">
        <v>2</v>
      </c>
      <c r="AJ77" s="5" t="s">
        <v>2</v>
      </c>
      <c r="AK77" s="21" t="s">
        <v>2</v>
      </c>
      <c r="AL77" s="39" t="s">
        <v>2</v>
      </c>
      <c r="AM77" s="26" t="s">
        <v>2</v>
      </c>
      <c r="AN77" s="34" t="s">
        <v>2</v>
      </c>
    </row>
    <row r="78" spans="2:40" x14ac:dyDescent="0.3">
      <c r="B78" s="7" t="s">
        <v>2744</v>
      </c>
      <c r="C78" s="1" t="s">
        <v>2744</v>
      </c>
      <c r="D78" s="8" t="s">
        <v>2744</v>
      </c>
      <c r="E78" s="1" t="s">
        <v>2744</v>
      </c>
      <c r="F78" s="1" t="s">
        <v>2744</v>
      </c>
      <c r="G78" s="1" t="s">
        <v>2744</v>
      </c>
      <c r="H78" s="1" t="s">
        <v>2744</v>
      </c>
      <c r="I78" s="1" t="s">
        <v>2744</v>
      </c>
      <c r="J78" s="1" t="s">
        <v>2744</v>
      </c>
      <c r="K78" s="1" t="s">
        <v>2744</v>
      </c>
      <c r="L78" s="1" t="s">
        <v>2744</v>
      </c>
      <c r="M78" s="1" t="s">
        <v>2744</v>
      </c>
      <c r="N78" s="1" t="s">
        <v>2744</v>
      </c>
      <c r="O78" s="1" t="s">
        <v>2744</v>
      </c>
      <c r="P78" s="1" t="s">
        <v>2744</v>
      </c>
      <c r="Q78" s="1" t="s">
        <v>2744</v>
      </c>
      <c r="R78" s="1" t="s">
        <v>2744</v>
      </c>
      <c r="S78" s="1" t="s">
        <v>2744</v>
      </c>
      <c r="T78" s="1" t="s">
        <v>2744</v>
      </c>
      <c r="U78" s="1" t="s">
        <v>2744</v>
      </c>
      <c r="V78" s="1" t="s">
        <v>2744</v>
      </c>
      <c r="W78" s="1" t="s">
        <v>2744</v>
      </c>
      <c r="X78" s="1" t="s">
        <v>2744</v>
      </c>
      <c r="Y78" s="22" t="s">
        <v>2744</v>
      </c>
      <c r="Z78" s="22" t="s">
        <v>2744</v>
      </c>
      <c r="AA78" s="1" t="s">
        <v>2744</v>
      </c>
      <c r="AB78" s="1" t="s">
        <v>2744</v>
      </c>
      <c r="AC78" s="1" t="s">
        <v>2744</v>
      </c>
      <c r="AD78" s="1" t="s">
        <v>2744</v>
      </c>
      <c r="AE78" s="1" t="s">
        <v>2744</v>
      </c>
      <c r="AF78" s="1" t="s">
        <v>2744</v>
      </c>
      <c r="AG78" s="1" t="s">
        <v>2744</v>
      </c>
      <c r="AH78" s="1" t="s">
        <v>2744</v>
      </c>
      <c r="AI78" s="1" t="s">
        <v>2744</v>
      </c>
      <c r="AJ78" s="1" t="s">
        <v>2744</v>
      </c>
      <c r="AK78" s="1" t="s">
        <v>2744</v>
      </c>
      <c r="AL78" s="1" t="s">
        <v>2744</v>
      </c>
      <c r="AM78" s="1" t="s">
        <v>2744</v>
      </c>
      <c r="AN78" s="1" t="s">
        <v>2744</v>
      </c>
    </row>
    <row r="79" spans="2:40" ht="56" x14ac:dyDescent="0.3">
      <c r="B79" s="19" t="s">
        <v>272</v>
      </c>
      <c r="C79" s="17" t="s">
        <v>4190</v>
      </c>
      <c r="D79" s="16"/>
      <c r="E79" s="2"/>
      <c r="F79" s="2"/>
      <c r="G79" s="2"/>
      <c r="H79" s="2"/>
      <c r="I79" s="2"/>
      <c r="J79" s="2"/>
      <c r="K79" s="3">
        <f>SUM(GMIC_22A_SCDPT1!SCDPT1_044BEGINNG_7:GMIC_22A_SCDPT1!SCDPT1_044ENDINGG_7)</f>
        <v>0</v>
      </c>
      <c r="L79" s="2"/>
      <c r="M79" s="3">
        <f>SUM(GMIC_22A_SCDPT1!SCDPT1_044BEGINNG_9:GMIC_22A_SCDPT1!SCDPT1_044ENDINGG_9)</f>
        <v>0</v>
      </c>
      <c r="N79" s="3">
        <f>SUM(GMIC_22A_SCDPT1!SCDPT1_044BEGINNG_10:GMIC_22A_SCDPT1!SCDPT1_044ENDINGG_10)</f>
        <v>0</v>
      </c>
      <c r="O79" s="3">
        <f>SUM(GMIC_22A_SCDPT1!SCDPT1_044BEGINNG_11:GMIC_22A_SCDPT1!SCDPT1_044ENDINGG_11)</f>
        <v>0</v>
      </c>
      <c r="P79" s="3">
        <f>SUM(GMIC_22A_SCDPT1!SCDPT1_044BEGINNG_12:GMIC_22A_SCDPT1!SCDPT1_044ENDINGG_12)</f>
        <v>0</v>
      </c>
      <c r="Q79" s="3">
        <f>SUM(GMIC_22A_SCDPT1!SCDPT1_044BEGINNG_13:GMIC_22A_SCDPT1!SCDPT1_044ENDINGG_13)</f>
        <v>0</v>
      </c>
      <c r="R79" s="3">
        <f>SUM(GMIC_22A_SCDPT1!SCDPT1_044BEGINNG_14:GMIC_22A_SCDPT1!SCDPT1_044ENDINGG_14)</f>
        <v>0</v>
      </c>
      <c r="S79" s="3">
        <f>SUM(GMIC_22A_SCDPT1!SCDPT1_044BEGINNG_15:GMIC_22A_SCDPT1!SCDPT1_044ENDINGG_15)</f>
        <v>0</v>
      </c>
      <c r="T79" s="2"/>
      <c r="U79" s="2"/>
      <c r="V79" s="2"/>
      <c r="W79" s="3">
        <f>SUM(GMIC_22A_SCDPT1!SCDPT1_044BEGINNG_19:GMIC_22A_SCDPT1!SCDPT1_044ENDINGG_19)</f>
        <v>0</v>
      </c>
      <c r="X79" s="3">
        <f>SUM(GMIC_22A_SCDPT1!SCDPT1_044BEGINNG_20:GMIC_22A_SCDPT1!SCDPT1_044ENDINGG_20)</f>
        <v>0</v>
      </c>
      <c r="Y79" s="29"/>
      <c r="Z79" s="29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2:40" ht="28" x14ac:dyDescent="0.3">
      <c r="B80" s="19" t="s">
        <v>3900</v>
      </c>
      <c r="C80" s="17" t="s">
        <v>3652</v>
      </c>
      <c r="D80" s="16"/>
      <c r="E80" s="2"/>
      <c r="F80" s="2"/>
      <c r="G80" s="2"/>
      <c r="H80" s="2"/>
      <c r="I80" s="2"/>
      <c r="J80" s="2"/>
      <c r="K80" s="3">
        <f>GMIC_22A_SCDPT1!SCDPT1_0419999999_7+GMIC_22A_SCDPT1!SCDPT1_0429999999_7+GMIC_22A_SCDPT1!SCDPT1_0439999999_7+GMIC_22A_SCDPT1!SCDPT1_0449999999_7</f>
        <v>48942925</v>
      </c>
      <c r="L80" s="2"/>
      <c r="M80" s="3">
        <f>GMIC_22A_SCDPT1!SCDPT1_0419999999_9+GMIC_22A_SCDPT1!SCDPT1_0429999999_9+GMIC_22A_SCDPT1!SCDPT1_0439999999_9+GMIC_22A_SCDPT1!SCDPT1_0449999999_9</f>
        <v>37606877</v>
      </c>
      <c r="N80" s="3">
        <f>GMIC_22A_SCDPT1!SCDPT1_0419999999_10+GMIC_22A_SCDPT1!SCDPT1_0429999999_10+GMIC_22A_SCDPT1!SCDPT1_0439999999_10+GMIC_22A_SCDPT1!SCDPT1_0449999999_10</f>
        <v>48760000</v>
      </c>
      <c r="O80" s="3">
        <f>GMIC_22A_SCDPT1!SCDPT1_0419999999_11+GMIC_22A_SCDPT1!SCDPT1_0429999999_11+GMIC_22A_SCDPT1!SCDPT1_0439999999_11+GMIC_22A_SCDPT1!SCDPT1_0449999999_11</f>
        <v>48934391</v>
      </c>
      <c r="P80" s="3">
        <f>GMIC_22A_SCDPT1!SCDPT1_0419999999_12+GMIC_22A_SCDPT1!SCDPT1_0429999999_12+GMIC_22A_SCDPT1!SCDPT1_0439999999_12+GMIC_22A_SCDPT1!SCDPT1_0449999999_12</f>
        <v>0</v>
      </c>
      <c r="Q80" s="3">
        <f>GMIC_22A_SCDPT1!SCDPT1_0419999999_13+GMIC_22A_SCDPT1!SCDPT1_0429999999_13+GMIC_22A_SCDPT1!SCDPT1_0439999999_13+GMIC_22A_SCDPT1!SCDPT1_0449999999_13</f>
        <v>-17583</v>
      </c>
      <c r="R80" s="3">
        <f>GMIC_22A_SCDPT1!SCDPT1_0419999999_14+GMIC_22A_SCDPT1!SCDPT1_0429999999_14+GMIC_22A_SCDPT1!SCDPT1_0439999999_14+GMIC_22A_SCDPT1!SCDPT1_0449999999_14</f>
        <v>0</v>
      </c>
      <c r="S80" s="3">
        <f>GMIC_22A_SCDPT1!SCDPT1_0419999999_15+GMIC_22A_SCDPT1!SCDPT1_0429999999_15+GMIC_22A_SCDPT1!SCDPT1_0439999999_15+GMIC_22A_SCDPT1!SCDPT1_0449999999_15</f>
        <v>0</v>
      </c>
      <c r="T80" s="2"/>
      <c r="U80" s="2"/>
      <c r="V80" s="2"/>
      <c r="W80" s="3">
        <f>GMIC_22A_SCDPT1!SCDPT1_0419999999_19+GMIC_22A_SCDPT1!SCDPT1_0429999999_19+GMIC_22A_SCDPT1!SCDPT1_0439999999_19+GMIC_22A_SCDPT1!SCDPT1_0449999999_19</f>
        <v>90819</v>
      </c>
      <c r="X80" s="3">
        <f>GMIC_22A_SCDPT1!SCDPT1_0419999999_20+GMIC_22A_SCDPT1!SCDPT1_0429999999_20+GMIC_22A_SCDPT1!SCDPT1_0439999999_20+GMIC_22A_SCDPT1!SCDPT1_0449999999_20</f>
        <v>1035059</v>
      </c>
      <c r="Y80" s="29"/>
      <c r="Z80" s="29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2:40" x14ac:dyDescent="0.3">
      <c r="B81" s="7" t="s">
        <v>2744</v>
      </c>
      <c r="C81" s="1" t="s">
        <v>2744</v>
      </c>
      <c r="D81" s="8" t="s">
        <v>2744</v>
      </c>
      <c r="E81" s="1" t="s">
        <v>2744</v>
      </c>
      <c r="F81" s="1" t="s">
        <v>2744</v>
      </c>
      <c r="G81" s="1" t="s">
        <v>2744</v>
      </c>
      <c r="H81" s="1" t="s">
        <v>2744</v>
      </c>
      <c r="I81" s="1" t="s">
        <v>2744</v>
      </c>
      <c r="J81" s="1" t="s">
        <v>2744</v>
      </c>
      <c r="K81" s="1" t="s">
        <v>2744</v>
      </c>
      <c r="L81" s="1" t="s">
        <v>2744</v>
      </c>
      <c r="M81" s="1" t="s">
        <v>2744</v>
      </c>
      <c r="N81" s="1" t="s">
        <v>2744</v>
      </c>
      <c r="O81" s="1" t="s">
        <v>2744</v>
      </c>
      <c r="P81" s="1" t="s">
        <v>2744</v>
      </c>
      <c r="Q81" s="1" t="s">
        <v>2744</v>
      </c>
      <c r="R81" s="1" t="s">
        <v>2744</v>
      </c>
      <c r="S81" s="1" t="s">
        <v>2744</v>
      </c>
      <c r="T81" s="1" t="s">
        <v>2744</v>
      </c>
      <c r="U81" s="1" t="s">
        <v>2744</v>
      </c>
      <c r="V81" s="1" t="s">
        <v>2744</v>
      </c>
      <c r="W81" s="1" t="s">
        <v>2744</v>
      </c>
      <c r="X81" s="1" t="s">
        <v>2744</v>
      </c>
      <c r="Y81" s="22" t="s">
        <v>2744</v>
      </c>
      <c r="Z81" s="22" t="s">
        <v>2744</v>
      </c>
      <c r="AA81" s="1" t="s">
        <v>2744</v>
      </c>
      <c r="AB81" s="1" t="s">
        <v>2744</v>
      </c>
      <c r="AC81" s="1" t="s">
        <v>2744</v>
      </c>
      <c r="AD81" s="1" t="s">
        <v>2744</v>
      </c>
      <c r="AE81" s="1" t="s">
        <v>2744</v>
      </c>
      <c r="AF81" s="1" t="s">
        <v>2744</v>
      </c>
      <c r="AG81" s="1" t="s">
        <v>2744</v>
      </c>
      <c r="AH81" s="1" t="s">
        <v>2744</v>
      </c>
      <c r="AI81" s="1" t="s">
        <v>2744</v>
      </c>
      <c r="AJ81" s="1" t="s">
        <v>2744</v>
      </c>
      <c r="AK81" s="1" t="s">
        <v>2744</v>
      </c>
      <c r="AL81" s="1" t="s">
        <v>2744</v>
      </c>
      <c r="AM81" s="1" t="s">
        <v>2744</v>
      </c>
      <c r="AN81" s="1" t="s">
        <v>2744</v>
      </c>
    </row>
    <row r="82" spans="2:40" x14ac:dyDescent="0.3">
      <c r="B82" s="18" t="s">
        <v>3653</v>
      </c>
      <c r="C82" s="47" t="s">
        <v>3901</v>
      </c>
      <c r="D82" s="15" t="s">
        <v>1628</v>
      </c>
      <c r="E82" s="37" t="s">
        <v>2</v>
      </c>
      <c r="F82" s="20" t="s">
        <v>2</v>
      </c>
      <c r="G82" s="40" t="s">
        <v>2745</v>
      </c>
      <c r="H82" s="32" t="s">
        <v>2745</v>
      </c>
      <c r="I82" s="33" t="s">
        <v>8</v>
      </c>
      <c r="J82" s="38" t="s">
        <v>270</v>
      </c>
      <c r="K82" s="4">
        <v>18799300</v>
      </c>
      <c r="L82" s="41">
        <v>78.218999999999994</v>
      </c>
      <c r="M82" s="4">
        <v>14697351</v>
      </c>
      <c r="N82" s="4">
        <v>18790000</v>
      </c>
      <c r="O82" s="4">
        <v>18797882</v>
      </c>
      <c r="P82" s="4">
        <v>0</v>
      </c>
      <c r="Q82" s="4">
        <v>-1061</v>
      </c>
      <c r="R82" s="4">
        <v>0</v>
      </c>
      <c r="S82" s="4">
        <v>0</v>
      </c>
      <c r="T82" s="23">
        <v>2.1059999999999999</v>
      </c>
      <c r="U82" s="23">
        <v>2.0990000000000002</v>
      </c>
      <c r="V82" s="5" t="s">
        <v>268</v>
      </c>
      <c r="W82" s="4">
        <v>164882</v>
      </c>
      <c r="X82" s="4">
        <v>395717</v>
      </c>
      <c r="Y82" s="14">
        <v>44343</v>
      </c>
      <c r="Z82" s="14">
        <v>48427</v>
      </c>
      <c r="AA82" s="45" t="s">
        <v>3654</v>
      </c>
      <c r="AB82" s="31" t="s">
        <v>3892</v>
      </c>
      <c r="AC82" s="5" t="s">
        <v>4178</v>
      </c>
      <c r="AD82" s="2"/>
      <c r="AE82" s="9">
        <v>47696</v>
      </c>
      <c r="AF82" s="23">
        <v>100</v>
      </c>
      <c r="AG82" s="9">
        <v>47696</v>
      </c>
      <c r="AH82" s="5" t="s">
        <v>2</v>
      </c>
      <c r="AI82" s="5" t="s">
        <v>796</v>
      </c>
      <c r="AJ82" s="5" t="s">
        <v>796</v>
      </c>
      <c r="AK82" s="21" t="s">
        <v>2</v>
      </c>
      <c r="AL82" s="39" t="s">
        <v>3894</v>
      </c>
      <c r="AM82" s="26" t="s">
        <v>4179</v>
      </c>
      <c r="AN82" s="34" t="s">
        <v>1923</v>
      </c>
    </row>
    <row r="83" spans="2:40" x14ac:dyDescent="0.3">
      <c r="B83" s="18" t="s">
        <v>273</v>
      </c>
      <c r="C83" s="47" t="s">
        <v>3655</v>
      </c>
      <c r="D83" s="15" t="s">
        <v>3656</v>
      </c>
      <c r="E83" s="68" t="s">
        <v>2</v>
      </c>
      <c r="F83" s="55" t="s">
        <v>2</v>
      </c>
      <c r="G83" s="40" t="s">
        <v>2745</v>
      </c>
      <c r="H83" s="71" t="s">
        <v>2745</v>
      </c>
      <c r="I83" s="67" t="s">
        <v>1164</v>
      </c>
      <c r="J83" s="73" t="s">
        <v>270</v>
      </c>
      <c r="K83" s="4">
        <v>6878900</v>
      </c>
      <c r="L83" s="41">
        <v>96.558999999999997</v>
      </c>
      <c r="M83" s="4">
        <v>6759130</v>
      </c>
      <c r="N83" s="4">
        <v>7000000</v>
      </c>
      <c r="O83" s="4">
        <v>6967914</v>
      </c>
      <c r="P83" s="4">
        <v>0</v>
      </c>
      <c r="Q83" s="4">
        <v>15998</v>
      </c>
      <c r="R83" s="4">
        <v>0</v>
      </c>
      <c r="S83" s="4">
        <v>0</v>
      </c>
      <c r="T83" s="23">
        <v>2.9</v>
      </c>
      <c r="U83" s="23">
        <v>3.1480000000000001</v>
      </c>
      <c r="V83" s="5" t="s">
        <v>3898</v>
      </c>
      <c r="W83" s="4">
        <v>16917</v>
      </c>
      <c r="X83" s="4">
        <v>203000</v>
      </c>
      <c r="Y83" s="14">
        <v>42725</v>
      </c>
      <c r="Z83" s="14">
        <v>45627</v>
      </c>
      <c r="AA83" s="70" t="s">
        <v>1410</v>
      </c>
      <c r="AB83" s="69" t="s">
        <v>3892</v>
      </c>
      <c r="AC83" s="5" t="s">
        <v>7</v>
      </c>
      <c r="AD83" s="2"/>
      <c r="AE83" s="6"/>
      <c r="AF83" s="23"/>
      <c r="AG83" s="6"/>
      <c r="AH83" s="5" t="s">
        <v>1629</v>
      </c>
      <c r="AI83" s="5" t="s">
        <v>3656</v>
      </c>
      <c r="AJ83" s="5" t="s">
        <v>2</v>
      </c>
      <c r="AK83" s="21" t="s">
        <v>2</v>
      </c>
      <c r="AL83" s="72" t="s">
        <v>3894</v>
      </c>
      <c r="AM83" s="54" t="s">
        <v>4179</v>
      </c>
      <c r="AN83" s="34" t="s">
        <v>1625</v>
      </c>
    </row>
    <row r="84" spans="2:40" x14ac:dyDescent="0.3">
      <c r="B84" s="18" t="s">
        <v>1411</v>
      </c>
      <c r="C84" s="47" t="s">
        <v>1168</v>
      </c>
      <c r="D84" s="15" t="s">
        <v>1630</v>
      </c>
      <c r="E84" s="68" t="s">
        <v>2276</v>
      </c>
      <c r="F84" s="55" t="s">
        <v>2</v>
      </c>
      <c r="G84" s="40" t="s">
        <v>2</v>
      </c>
      <c r="H84" s="71" t="s">
        <v>2745</v>
      </c>
      <c r="I84" s="67" t="s">
        <v>1164</v>
      </c>
      <c r="J84" s="73" t="s">
        <v>270</v>
      </c>
      <c r="K84" s="4">
        <v>1135278</v>
      </c>
      <c r="L84" s="41">
        <v>86.055000000000007</v>
      </c>
      <c r="M84" s="4">
        <v>2598861</v>
      </c>
      <c r="N84" s="4">
        <v>3020000</v>
      </c>
      <c r="O84" s="4">
        <v>2385766</v>
      </c>
      <c r="P84" s="4">
        <v>0</v>
      </c>
      <c r="Q84" s="4">
        <v>119606</v>
      </c>
      <c r="R84" s="4">
        <v>0</v>
      </c>
      <c r="S84" s="4">
        <v>0</v>
      </c>
      <c r="T84" s="23">
        <v>0</v>
      </c>
      <c r="U84" s="23">
        <v>5.21</v>
      </c>
      <c r="V84" s="5" t="s">
        <v>3902</v>
      </c>
      <c r="W84" s="4">
        <v>0</v>
      </c>
      <c r="X84" s="4">
        <v>0</v>
      </c>
      <c r="Y84" s="14">
        <v>39640</v>
      </c>
      <c r="Z84" s="14">
        <v>46600</v>
      </c>
      <c r="AA84" s="70" t="s">
        <v>3654</v>
      </c>
      <c r="AB84" s="69" t="s">
        <v>3892</v>
      </c>
      <c r="AC84" s="5" t="s">
        <v>7</v>
      </c>
      <c r="AD84" s="2"/>
      <c r="AE84" s="6"/>
      <c r="AF84" s="23"/>
      <c r="AG84" s="6"/>
      <c r="AH84" s="5" t="s">
        <v>2</v>
      </c>
      <c r="AI84" s="5" t="s">
        <v>2751</v>
      </c>
      <c r="AJ84" s="5" t="s">
        <v>2277</v>
      </c>
      <c r="AK84" s="21" t="s">
        <v>2</v>
      </c>
      <c r="AL84" s="72" t="s">
        <v>3894</v>
      </c>
      <c r="AM84" s="54" t="s">
        <v>4179</v>
      </c>
      <c r="AN84" s="34" t="s">
        <v>1625</v>
      </c>
    </row>
    <row r="85" spans="2:40" x14ac:dyDescent="0.3">
      <c r="B85" s="18" t="s">
        <v>2539</v>
      </c>
      <c r="C85" s="47" t="s">
        <v>797</v>
      </c>
      <c r="D85" s="15" t="s">
        <v>1630</v>
      </c>
      <c r="E85" s="68" t="s">
        <v>2276</v>
      </c>
      <c r="F85" s="55" t="s">
        <v>2</v>
      </c>
      <c r="G85" s="40" t="s">
        <v>2</v>
      </c>
      <c r="H85" s="71" t="s">
        <v>2745</v>
      </c>
      <c r="I85" s="67" t="s">
        <v>1164</v>
      </c>
      <c r="J85" s="73" t="s">
        <v>270</v>
      </c>
      <c r="K85" s="4">
        <v>1112103</v>
      </c>
      <c r="L85" s="41">
        <v>82.89</v>
      </c>
      <c r="M85" s="4">
        <v>2606891</v>
      </c>
      <c r="N85" s="4">
        <v>3145000</v>
      </c>
      <c r="O85" s="4">
        <v>2353551</v>
      </c>
      <c r="P85" s="4">
        <v>0</v>
      </c>
      <c r="Q85" s="4">
        <v>119079</v>
      </c>
      <c r="R85" s="4">
        <v>0</v>
      </c>
      <c r="S85" s="4">
        <v>0</v>
      </c>
      <c r="T85" s="23">
        <v>0</v>
      </c>
      <c r="U85" s="23">
        <v>5.26</v>
      </c>
      <c r="V85" s="5" t="s">
        <v>3902</v>
      </c>
      <c r="W85" s="4">
        <v>0</v>
      </c>
      <c r="X85" s="4">
        <v>0</v>
      </c>
      <c r="Y85" s="14">
        <v>39640</v>
      </c>
      <c r="Z85" s="14">
        <v>46966</v>
      </c>
      <c r="AA85" s="70" t="s">
        <v>3654</v>
      </c>
      <c r="AB85" s="69" t="s">
        <v>3892</v>
      </c>
      <c r="AC85" s="5" t="s">
        <v>7</v>
      </c>
      <c r="AD85" s="2"/>
      <c r="AE85" s="6"/>
      <c r="AF85" s="23"/>
      <c r="AG85" s="6"/>
      <c r="AH85" s="5" t="s">
        <v>2</v>
      </c>
      <c r="AI85" s="5" t="s">
        <v>2751</v>
      </c>
      <c r="AJ85" s="5" t="s">
        <v>2277</v>
      </c>
      <c r="AK85" s="21" t="s">
        <v>2</v>
      </c>
      <c r="AL85" s="72" t="s">
        <v>3894</v>
      </c>
      <c r="AM85" s="54" t="s">
        <v>4179</v>
      </c>
      <c r="AN85" s="34" t="s">
        <v>1625</v>
      </c>
    </row>
    <row r="86" spans="2:40" x14ac:dyDescent="0.3">
      <c r="B86" s="18" t="s">
        <v>3657</v>
      </c>
      <c r="C86" s="47" t="s">
        <v>798</v>
      </c>
      <c r="D86" s="15" t="s">
        <v>1630</v>
      </c>
      <c r="E86" s="68" t="s">
        <v>2276</v>
      </c>
      <c r="F86" s="55" t="s">
        <v>2</v>
      </c>
      <c r="G86" s="40" t="s">
        <v>2</v>
      </c>
      <c r="H86" s="71" t="s">
        <v>2745</v>
      </c>
      <c r="I86" s="67" t="s">
        <v>1164</v>
      </c>
      <c r="J86" s="73" t="s">
        <v>270</v>
      </c>
      <c r="K86" s="4">
        <v>1086588</v>
      </c>
      <c r="L86" s="41">
        <v>79.701999999999998</v>
      </c>
      <c r="M86" s="4">
        <v>2606255</v>
      </c>
      <c r="N86" s="4">
        <v>3270000</v>
      </c>
      <c r="O86" s="4">
        <v>2315825</v>
      </c>
      <c r="P86" s="4">
        <v>0</v>
      </c>
      <c r="Q86" s="4">
        <v>118244</v>
      </c>
      <c r="R86" s="4">
        <v>0</v>
      </c>
      <c r="S86" s="4">
        <v>0</v>
      </c>
      <c r="T86" s="23">
        <v>0</v>
      </c>
      <c r="U86" s="23">
        <v>5.31</v>
      </c>
      <c r="V86" s="5" t="s">
        <v>3902</v>
      </c>
      <c r="W86" s="4">
        <v>0</v>
      </c>
      <c r="X86" s="4">
        <v>0</v>
      </c>
      <c r="Y86" s="14">
        <v>39640</v>
      </c>
      <c r="Z86" s="14">
        <v>47331</v>
      </c>
      <c r="AA86" s="70" t="s">
        <v>3654</v>
      </c>
      <c r="AB86" s="69" t="s">
        <v>3892</v>
      </c>
      <c r="AC86" s="5" t="s">
        <v>7</v>
      </c>
      <c r="AD86" s="2"/>
      <c r="AE86" s="6"/>
      <c r="AF86" s="23"/>
      <c r="AG86" s="6"/>
      <c r="AH86" s="5" t="s">
        <v>2</v>
      </c>
      <c r="AI86" s="5" t="s">
        <v>2751</v>
      </c>
      <c r="AJ86" s="5" t="s">
        <v>2277</v>
      </c>
      <c r="AK86" s="21" t="s">
        <v>2</v>
      </c>
      <c r="AL86" s="72" t="s">
        <v>3894</v>
      </c>
      <c r="AM86" s="54" t="s">
        <v>4179</v>
      </c>
      <c r="AN86" s="34" t="s">
        <v>1625</v>
      </c>
    </row>
    <row r="87" spans="2:40" x14ac:dyDescent="0.3">
      <c r="B87" s="18" t="s">
        <v>274</v>
      </c>
      <c r="C87" s="47" t="s">
        <v>799</v>
      </c>
      <c r="D87" s="15" t="s">
        <v>1630</v>
      </c>
      <c r="E87" s="68" t="s">
        <v>2276</v>
      </c>
      <c r="F87" s="55" t="s">
        <v>2</v>
      </c>
      <c r="G87" s="40" t="s">
        <v>2</v>
      </c>
      <c r="H87" s="71" t="s">
        <v>2745</v>
      </c>
      <c r="I87" s="67" t="s">
        <v>1164</v>
      </c>
      <c r="J87" s="73" t="s">
        <v>270</v>
      </c>
      <c r="K87" s="4">
        <v>1095768</v>
      </c>
      <c r="L87" s="41">
        <v>76.504000000000005</v>
      </c>
      <c r="M87" s="4">
        <v>2681465</v>
      </c>
      <c r="N87" s="4">
        <v>3505000</v>
      </c>
      <c r="O87" s="4">
        <v>2348563</v>
      </c>
      <c r="P87" s="4">
        <v>0</v>
      </c>
      <c r="Q87" s="4">
        <v>120783</v>
      </c>
      <c r="R87" s="4">
        <v>0</v>
      </c>
      <c r="S87" s="4">
        <v>0</v>
      </c>
      <c r="T87" s="23">
        <v>0</v>
      </c>
      <c r="U87" s="23">
        <v>5.35</v>
      </c>
      <c r="V87" s="5" t="s">
        <v>3902</v>
      </c>
      <c r="W87" s="4">
        <v>0</v>
      </c>
      <c r="X87" s="4">
        <v>0</v>
      </c>
      <c r="Y87" s="14">
        <v>39640</v>
      </c>
      <c r="Z87" s="14">
        <v>47696</v>
      </c>
      <c r="AA87" s="70" t="s">
        <v>3654</v>
      </c>
      <c r="AB87" s="69" t="s">
        <v>3892</v>
      </c>
      <c r="AC87" s="5" t="s">
        <v>7</v>
      </c>
      <c r="AD87" s="2"/>
      <c r="AE87" s="10"/>
      <c r="AF87" s="23"/>
      <c r="AG87" s="6"/>
      <c r="AH87" s="5" t="s">
        <v>2</v>
      </c>
      <c r="AI87" s="5" t="s">
        <v>2751</v>
      </c>
      <c r="AJ87" s="5" t="s">
        <v>2277</v>
      </c>
      <c r="AK87" s="21" t="s">
        <v>2</v>
      </c>
      <c r="AL87" s="72" t="s">
        <v>3894</v>
      </c>
      <c r="AM87" s="54" t="s">
        <v>4179</v>
      </c>
      <c r="AN87" s="34" t="s">
        <v>1625</v>
      </c>
    </row>
    <row r="88" spans="2:40" x14ac:dyDescent="0.3">
      <c r="B88" s="18" t="s">
        <v>1412</v>
      </c>
      <c r="C88" s="47" t="s">
        <v>12</v>
      </c>
      <c r="D88" s="15" t="s">
        <v>800</v>
      </c>
      <c r="E88" s="68" t="s">
        <v>2276</v>
      </c>
      <c r="F88" s="55" t="s">
        <v>2</v>
      </c>
      <c r="G88" s="40" t="s">
        <v>2</v>
      </c>
      <c r="H88" s="71" t="s">
        <v>2745</v>
      </c>
      <c r="I88" s="67" t="s">
        <v>2274</v>
      </c>
      <c r="J88" s="73" t="s">
        <v>270</v>
      </c>
      <c r="K88" s="4">
        <v>844303</v>
      </c>
      <c r="L88" s="41">
        <v>77.019000000000005</v>
      </c>
      <c r="M88" s="4">
        <v>1667461</v>
      </c>
      <c r="N88" s="4">
        <v>2165000</v>
      </c>
      <c r="O88" s="4">
        <v>1337895</v>
      </c>
      <c r="P88" s="4">
        <v>0</v>
      </c>
      <c r="Q88" s="4">
        <v>82279</v>
      </c>
      <c r="R88" s="4">
        <v>0</v>
      </c>
      <c r="S88" s="4">
        <v>0</v>
      </c>
      <c r="T88" s="23">
        <v>0</v>
      </c>
      <c r="U88" s="23">
        <v>6.4489999999999998</v>
      </c>
      <c r="V88" s="5" t="s">
        <v>3902</v>
      </c>
      <c r="W88" s="4">
        <v>0</v>
      </c>
      <c r="X88" s="4">
        <v>0</v>
      </c>
      <c r="Y88" s="14">
        <v>42277</v>
      </c>
      <c r="Z88" s="14">
        <v>47696</v>
      </c>
      <c r="AA88" s="70" t="s">
        <v>3654</v>
      </c>
      <c r="AB88" s="69" t="s">
        <v>3892</v>
      </c>
      <c r="AC88" s="5" t="s">
        <v>7</v>
      </c>
      <c r="AD88" s="2"/>
      <c r="AE88" s="6"/>
      <c r="AF88" s="23"/>
      <c r="AG88" s="6"/>
      <c r="AH88" s="5" t="s">
        <v>2</v>
      </c>
      <c r="AI88" s="5" t="s">
        <v>2752</v>
      </c>
      <c r="AJ88" s="5" t="s">
        <v>2277</v>
      </c>
      <c r="AK88" s="21" t="s">
        <v>2</v>
      </c>
      <c r="AL88" s="72" t="s">
        <v>3894</v>
      </c>
      <c r="AM88" s="54" t="s">
        <v>4179</v>
      </c>
      <c r="AN88" s="34" t="s">
        <v>1408</v>
      </c>
    </row>
    <row r="89" spans="2:40" x14ac:dyDescent="0.3">
      <c r="B89" s="18" t="s">
        <v>2753</v>
      </c>
      <c r="C89" s="47" t="s">
        <v>3416</v>
      </c>
      <c r="D89" s="15" t="s">
        <v>800</v>
      </c>
      <c r="E89" s="68" t="s">
        <v>2276</v>
      </c>
      <c r="F89" s="55" t="s">
        <v>2</v>
      </c>
      <c r="G89" s="40" t="s">
        <v>2</v>
      </c>
      <c r="H89" s="71" t="s">
        <v>2745</v>
      </c>
      <c r="I89" s="67" t="s">
        <v>2274</v>
      </c>
      <c r="J89" s="73" t="s">
        <v>270</v>
      </c>
      <c r="K89" s="4">
        <v>879350</v>
      </c>
      <c r="L89" s="41">
        <v>73.938000000000002</v>
      </c>
      <c r="M89" s="4">
        <v>1722755</v>
      </c>
      <c r="N89" s="4">
        <v>2330000</v>
      </c>
      <c r="O89" s="4">
        <v>1373980</v>
      </c>
      <c r="P89" s="4">
        <v>0</v>
      </c>
      <c r="Q89" s="4">
        <v>81996</v>
      </c>
      <c r="R89" s="4">
        <v>0</v>
      </c>
      <c r="S89" s="4">
        <v>0</v>
      </c>
      <c r="T89" s="23">
        <v>0</v>
      </c>
      <c r="U89" s="23">
        <v>6.2489999999999997</v>
      </c>
      <c r="V89" s="5" t="s">
        <v>3902</v>
      </c>
      <c r="W89" s="4">
        <v>0</v>
      </c>
      <c r="X89" s="4">
        <v>0</v>
      </c>
      <c r="Y89" s="14">
        <v>42277</v>
      </c>
      <c r="Z89" s="14">
        <v>48061</v>
      </c>
      <c r="AA89" s="70" t="s">
        <v>3654</v>
      </c>
      <c r="AB89" s="69" t="s">
        <v>3892</v>
      </c>
      <c r="AC89" s="5" t="s">
        <v>7</v>
      </c>
      <c r="AD89" s="2"/>
      <c r="AE89" s="6"/>
      <c r="AF89" s="23"/>
      <c r="AG89" s="6"/>
      <c r="AH89" s="5" t="s">
        <v>2</v>
      </c>
      <c r="AI89" s="5" t="s">
        <v>2752</v>
      </c>
      <c r="AJ89" s="5" t="s">
        <v>2277</v>
      </c>
      <c r="AK89" s="21" t="s">
        <v>2</v>
      </c>
      <c r="AL89" s="72" t="s">
        <v>3894</v>
      </c>
      <c r="AM89" s="54" t="s">
        <v>4179</v>
      </c>
      <c r="AN89" s="34" t="s">
        <v>1408</v>
      </c>
    </row>
    <row r="90" spans="2:40" x14ac:dyDescent="0.3">
      <c r="B90" s="18" t="s">
        <v>3903</v>
      </c>
      <c r="C90" s="47" t="s">
        <v>3658</v>
      </c>
      <c r="D90" s="15" t="s">
        <v>2754</v>
      </c>
      <c r="E90" s="68" t="s">
        <v>2</v>
      </c>
      <c r="F90" s="55" t="s">
        <v>2</v>
      </c>
      <c r="G90" s="40" t="s">
        <v>2745</v>
      </c>
      <c r="H90" s="71" t="s">
        <v>2745</v>
      </c>
      <c r="I90" s="67" t="s">
        <v>3408</v>
      </c>
      <c r="J90" s="73" t="s">
        <v>270</v>
      </c>
      <c r="K90" s="4">
        <v>5000000</v>
      </c>
      <c r="L90" s="41">
        <v>78.956000000000003</v>
      </c>
      <c r="M90" s="4">
        <v>3947800</v>
      </c>
      <c r="N90" s="4">
        <v>5000000</v>
      </c>
      <c r="O90" s="4">
        <v>5000000</v>
      </c>
      <c r="P90" s="4">
        <v>0</v>
      </c>
      <c r="Q90" s="4">
        <v>0</v>
      </c>
      <c r="R90" s="4">
        <v>0</v>
      </c>
      <c r="S90" s="4">
        <v>0</v>
      </c>
      <c r="T90" s="23">
        <v>2.1640000000000001</v>
      </c>
      <c r="U90" s="23">
        <v>2.1640000000000001</v>
      </c>
      <c r="V90" s="5" t="s">
        <v>1916</v>
      </c>
      <c r="W90" s="4">
        <v>54100</v>
      </c>
      <c r="X90" s="4">
        <v>75139</v>
      </c>
      <c r="Y90" s="14">
        <v>44476</v>
      </c>
      <c r="Z90" s="14">
        <v>48396</v>
      </c>
      <c r="AA90" s="70" t="s">
        <v>3654</v>
      </c>
      <c r="AB90" s="69" t="s">
        <v>3892</v>
      </c>
      <c r="AC90" s="5" t="s">
        <v>7</v>
      </c>
      <c r="AD90" s="2"/>
      <c r="AE90" s="14">
        <v>48030</v>
      </c>
      <c r="AF90" s="23">
        <v>100</v>
      </c>
      <c r="AG90" s="6"/>
      <c r="AH90" s="5" t="s">
        <v>2</v>
      </c>
      <c r="AI90" s="5" t="s">
        <v>2540</v>
      </c>
      <c r="AJ90" s="5" t="s">
        <v>3659</v>
      </c>
      <c r="AK90" s="21" t="s">
        <v>2</v>
      </c>
      <c r="AL90" s="72" t="s">
        <v>3894</v>
      </c>
      <c r="AM90" s="54" t="s">
        <v>4179</v>
      </c>
      <c r="AN90" s="34" t="s">
        <v>2278</v>
      </c>
    </row>
    <row r="91" spans="2:40" x14ac:dyDescent="0.3">
      <c r="B91" s="18" t="s">
        <v>1413</v>
      </c>
      <c r="C91" s="47" t="s">
        <v>1631</v>
      </c>
      <c r="D91" s="15" t="s">
        <v>2754</v>
      </c>
      <c r="E91" s="68" t="s">
        <v>2</v>
      </c>
      <c r="F91" s="55" t="s">
        <v>2</v>
      </c>
      <c r="G91" s="40" t="s">
        <v>2745</v>
      </c>
      <c r="H91" s="71" t="s">
        <v>2745</v>
      </c>
      <c r="I91" s="67" t="s">
        <v>3408</v>
      </c>
      <c r="J91" s="73" t="s">
        <v>270</v>
      </c>
      <c r="K91" s="4">
        <v>3840000</v>
      </c>
      <c r="L91" s="41">
        <v>78.14</v>
      </c>
      <c r="M91" s="4">
        <v>3000576</v>
      </c>
      <c r="N91" s="4">
        <v>3840000</v>
      </c>
      <c r="O91" s="4">
        <v>3840000</v>
      </c>
      <c r="P91" s="4">
        <v>0</v>
      </c>
      <c r="Q91" s="4">
        <v>0</v>
      </c>
      <c r="R91" s="4">
        <v>0</v>
      </c>
      <c r="S91" s="4">
        <v>0</v>
      </c>
      <c r="T91" s="23">
        <v>2.3140000000000001</v>
      </c>
      <c r="U91" s="23">
        <v>2.3140000000000001</v>
      </c>
      <c r="V91" s="5" t="s">
        <v>1916</v>
      </c>
      <c r="W91" s="4">
        <v>44429</v>
      </c>
      <c r="X91" s="4">
        <v>61707</v>
      </c>
      <c r="Y91" s="14">
        <v>44476</v>
      </c>
      <c r="Z91" s="14">
        <v>48761</v>
      </c>
      <c r="AA91" s="70" t="s">
        <v>3654</v>
      </c>
      <c r="AB91" s="69" t="s">
        <v>3892</v>
      </c>
      <c r="AC91" s="5" t="s">
        <v>7</v>
      </c>
      <c r="AD91" s="2"/>
      <c r="AE91" s="14">
        <v>48030</v>
      </c>
      <c r="AF91" s="23">
        <v>100</v>
      </c>
      <c r="AG91" s="6"/>
      <c r="AH91" s="5" t="s">
        <v>2</v>
      </c>
      <c r="AI91" s="5" t="s">
        <v>2540</v>
      </c>
      <c r="AJ91" s="5" t="s">
        <v>3659</v>
      </c>
      <c r="AK91" s="21" t="s">
        <v>2</v>
      </c>
      <c r="AL91" s="72" t="s">
        <v>3894</v>
      </c>
      <c r="AM91" s="54" t="s">
        <v>4179</v>
      </c>
      <c r="AN91" s="34" t="s">
        <v>2278</v>
      </c>
    </row>
    <row r="92" spans="2:40" x14ac:dyDescent="0.3">
      <c r="B92" s="18" t="s">
        <v>2541</v>
      </c>
      <c r="C92" s="47" t="s">
        <v>275</v>
      </c>
      <c r="D92" s="15" t="s">
        <v>2754</v>
      </c>
      <c r="E92" s="68" t="s">
        <v>2</v>
      </c>
      <c r="F92" s="55" t="s">
        <v>2</v>
      </c>
      <c r="G92" s="40" t="s">
        <v>2745</v>
      </c>
      <c r="H92" s="71" t="s">
        <v>2745</v>
      </c>
      <c r="I92" s="67" t="s">
        <v>3408</v>
      </c>
      <c r="J92" s="73" t="s">
        <v>270</v>
      </c>
      <c r="K92" s="4">
        <v>5000000</v>
      </c>
      <c r="L92" s="41">
        <v>76.86</v>
      </c>
      <c r="M92" s="4">
        <v>3843000</v>
      </c>
      <c r="N92" s="4">
        <v>5000000</v>
      </c>
      <c r="O92" s="4">
        <v>5000000</v>
      </c>
      <c r="P92" s="4">
        <v>0</v>
      </c>
      <c r="Q92" s="4">
        <v>0</v>
      </c>
      <c r="R92" s="4">
        <v>0</v>
      </c>
      <c r="S92" s="4">
        <v>0</v>
      </c>
      <c r="T92" s="23">
        <v>2.4140000000000001</v>
      </c>
      <c r="U92" s="23">
        <v>2.4140000000000001</v>
      </c>
      <c r="V92" s="5" t="s">
        <v>1916</v>
      </c>
      <c r="W92" s="4">
        <v>60350</v>
      </c>
      <c r="X92" s="4">
        <v>83819</v>
      </c>
      <c r="Y92" s="14">
        <v>44476</v>
      </c>
      <c r="Z92" s="14">
        <v>49126</v>
      </c>
      <c r="AA92" s="70" t="s">
        <v>3654</v>
      </c>
      <c r="AB92" s="69" t="s">
        <v>3892</v>
      </c>
      <c r="AC92" s="5" t="s">
        <v>7</v>
      </c>
      <c r="AD92" s="2"/>
      <c r="AE92" s="9">
        <v>48030</v>
      </c>
      <c r="AF92" s="23">
        <v>100</v>
      </c>
      <c r="AG92" s="6"/>
      <c r="AH92" s="5" t="s">
        <v>2</v>
      </c>
      <c r="AI92" s="5" t="s">
        <v>2540</v>
      </c>
      <c r="AJ92" s="5" t="s">
        <v>3659</v>
      </c>
      <c r="AK92" s="21" t="s">
        <v>2</v>
      </c>
      <c r="AL92" s="72" t="s">
        <v>3894</v>
      </c>
      <c r="AM92" s="54" t="s">
        <v>4179</v>
      </c>
      <c r="AN92" s="34" t="s">
        <v>2278</v>
      </c>
    </row>
    <row r="93" spans="2:40" x14ac:dyDescent="0.3">
      <c r="B93" s="7" t="s">
        <v>2744</v>
      </c>
      <c r="C93" s="1" t="s">
        <v>2744</v>
      </c>
      <c r="D93" s="8" t="s">
        <v>2744</v>
      </c>
      <c r="E93" s="1" t="s">
        <v>2744</v>
      </c>
      <c r="F93" s="1" t="s">
        <v>2744</v>
      </c>
      <c r="G93" s="1" t="s">
        <v>2744</v>
      </c>
      <c r="H93" s="1" t="s">
        <v>2744</v>
      </c>
      <c r="I93" s="1" t="s">
        <v>2744</v>
      </c>
      <c r="J93" s="1" t="s">
        <v>2744</v>
      </c>
      <c r="K93" s="1" t="s">
        <v>2744</v>
      </c>
      <c r="L93" s="1" t="s">
        <v>2744</v>
      </c>
      <c r="M93" s="1" t="s">
        <v>2744</v>
      </c>
      <c r="N93" s="1" t="s">
        <v>2744</v>
      </c>
      <c r="O93" s="1" t="s">
        <v>2744</v>
      </c>
      <c r="P93" s="1" t="s">
        <v>2744</v>
      </c>
      <c r="Q93" s="1" t="s">
        <v>2744</v>
      </c>
      <c r="R93" s="1" t="s">
        <v>2744</v>
      </c>
      <c r="S93" s="1" t="s">
        <v>2744</v>
      </c>
      <c r="T93" s="1" t="s">
        <v>2744</v>
      </c>
      <c r="U93" s="1" t="s">
        <v>2744</v>
      </c>
      <c r="V93" s="1" t="s">
        <v>2744</v>
      </c>
      <c r="W93" s="1" t="s">
        <v>2744</v>
      </c>
      <c r="X93" s="1" t="s">
        <v>2744</v>
      </c>
      <c r="Y93" s="22" t="s">
        <v>2744</v>
      </c>
      <c r="Z93" s="22" t="s">
        <v>2744</v>
      </c>
      <c r="AA93" s="1" t="s">
        <v>2744</v>
      </c>
      <c r="AB93" s="1" t="s">
        <v>2744</v>
      </c>
      <c r="AC93" s="1" t="s">
        <v>2744</v>
      </c>
      <c r="AD93" s="1" t="s">
        <v>2744</v>
      </c>
      <c r="AE93" s="22" t="s">
        <v>2744</v>
      </c>
      <c r="AF93" s="1" t="s">
        <v>2744</v>
      </c>
      <c r="AG93" s="1" t="s">
        <v>2744</v>
      </c>
      <c r="AH93" s="1" t="s">
        <v>2744</v>
      </c>
      <c r="AI93" s="1" t="s">
        <v>2744</v>
      </c>
      <c r="AJ93" s="1" t="s">
        <v>2744</v>
      </c>
      <c r="AK93" s="1" t="s">
        <v>2744</v>
      </c>
      <c r="AL93" s="1" t="s">
        <v>2744</v>
      </c>
      <c r="AM93" s="1" t="s">
        <v>2744</v>
      </c>
      <c r="AN93" s="1" t="s">
        <v>2744</v>
      </c>
    </row>
    <row r="94" spans="2:40" ht="42" x14ac:dyDescent="0.3">
      <c r="B94" s="19" t="s">
        <v>3417</v>
      </c>
      <c r="C94" s="17" t="s">
        <v>3061</v>
      </c>
      <c r="D94" s="16"/>
      <c r="E94" s="2"/>
      <c r="F94" s="2"/>
      <c r="G94" s="2"/>
      <c r="H94" s="2"/>
      <c r="I94" s="2"/>
      <c r="J94" s="2"/>
      <c r="K94" s="3">
        <f>SUM(GMIC_22A_SCDPT1!SCDPT1_061BEGINNG_7:GMIC_22A_SCDPT1!SCDPT1_061ENDINGG_7)</f>
        <v>45671590</v>
      </c>
      <c r="L94" s="2"/>
      <c r="M94" s="3">
        <f>SUM(GMIC_22A_SCDPT1!SCDPT1_061BEGINNG_9:GMIC_22A_SCDPT1!SCDPT1_061ENDINGG_9)</f>
        <v>46131545</v>
      </c>
      <c r="N94" s="3">
        <f>SUM(GMIC_22A_SCDPT1!SCDPT1_061BEGINNG_10:GMIC_22A_SCDPT1!SCDPT1_061ENDINGG_10)</f>
        <v>57065000</v>
      </c>
      <c r="O94" s="3">
        <f>SUM(GMIC_22A_SCDPT1!SCDPT1_061BEGINNG_11:GMIC_22A_SCDPT1!SCDPT1_061ENDINGG_11)</f>
        <v>51721376</v>
      </c>
      <c r="P94" s="3">
        <f>SUM(GMIC_22A_SCDPT1!SCDPT1_061BEGINNG_12:GMIC_22A_SCDPT1!SCDPT1_061ENDINGG_12)</f>
        <v>0</v>
      </c>
      <c r="Q94" s="3">
        <f>SUM(GMIC_22A_SCDPT1!SCDPT1_061BEGINNG_13:GMIC_22A_SCDPT1!SCDPT1_061ENDINGG_13)</f>
        <v>656924</v>
      </c>
      <c r="R94" s="3">
        <f>SUM(GMIC_22A_SCDPT1!SCDPT1_061BEGINNG_14:GMIC_22A_SCDPT1!SCDPT1_061ENDINGG_14)</f>
        <v>0</v>
      </c>
      <c r="S94" s="3">
        <f>SUM(GMIC_22A_SCDPT1!SCDPT1_061BEGINNG_15:GMIC_22A_SCDPT1!SCDPT1_061ENDINGG_15)</f>
        <v>0</v>
      </c>
      <c r="T94" s="2"/>
      <c r="U94" s="2"/>
      <c r="V94" s="2"/>
      <c r="W94" s="3">
        <f>SUM(GMIC_22A_SCDPT1!SCDPT1_061BEGINNG_19:GMIC_22A_SCDPT1!SCDPT1_061ENDINGG_19)</f>
        <v>340678</v>
      </c>
      <c r="X94" s="3">
        <f>SUM(GMIC_22A_SCDPT1!SCDPT1_061BEGINNG_20:GMIC_22A_SCDPT1!SCDPT1_061ENDINGG_20)</f>
        <v>819382</v>
      </c>
      <c r="Y94" s="29"/>
      <c r="Z94" s="29"/>
      <c r="AA94" s="2"/>
      <c r="AB94" s="2"/>
      <c r="AC94" s="2"/>
      <c r="AD94" s="2"/>
      <c r="AE94" s="29"/>
      <c r="AF94" s="2"/>
      <c r="AG94" s="2"/>
      <c r="AH94" s="2"/>
      <c r="AI94" s="2"/>
      <c r="AJ94" s="2"/>
      <c r="AK94" s="2"/>
      <c r="AL94" s="2"/>
      <c r="AM94" s="2"/>
      <c r="AN94" s="2"/>
    </row>
    <row r="95" spans="2:40" x14ac:dyDescent="0.3">
      <c r="B95" s="7" t="s">
        <v>2744</v>
      </c>
      <c r="C95" s="1" t="s">
        <v>2744</v>
      </c>
      <c r="D95" s="8" t="s">
        <v>2744</v>
      </c>
      <c r="E95" s="1" t="s">
        <v>2744</v>
      </c>
      <c r="F95" s="1" t="s">
        <v>2744</v>
      </c>
      <c r="G95" s="1" t="s">
        <v>2744</v>
      </c>
      <c r="H95" s="1" t="s">
        <v>2744</v>
      </c>
      <c r="I95" s="1" t="s">
        <v>2744</v>
      </c>
      <c r="J95" s="1" t="s">
        <v>2744</v>
      </c>
      <c r="K95" s="1" t="s">
        <v>2744</v>
      </c>
      <c r="L95" s="1" t="s">
        <v>2744</v>
      </c>
      <c r="M95" s="1" t="s">
        <v>2744</v>
      </c>
      <c r="N95" s="1" t="s">
        <v>2744</v>
      </c>
      <c r="O95" s="1" t="s">
        <v>2744</v>
      </c>
      <c r="P95" s="1" t="s">
        <v>2744</v>
      </c>
      <c r="Q95" s="1" t="s">
        <v>2744</v>
      </c>
      <c r="R95" s="1" t="s">
        <v>2744</v>
      </c>
      <c r="S95" s="1" t="s">
        <v>2744</v>
      </c>
      <c r="T95" s="1" t="s">
        <v>2744</v>
      </c>
      <c r="U95" s="1" t="s">
        <v>2744</v>
      </c>
      <c r="V95" s="1" t="s">
        <v>2744</v>
      </c>
      <c r="W95" s="1" t="s">
        <v>2744</v>
      </c>
      <c r="X95" s="1" t="s">
        <v>2744</v>
      </c>
      <c r="Y95" s="22" t="s">
        <v>2744</v>
      </c>
      <c r="Z95" s="22" t="s">
        <v>2744</v>
      </c>
      <c r="AA95" s="1" t="s">
        <v>2744</v>
      </c>
      <c r="AB95" s="1" t="s">
        <v>2744</v>
      </c>
      <c r="AC95" s="1" t="s">
        <v>2744</v>
      </c>
      <c r="AD95" s="1" t="s">
        <v>2744</v>
      </c>
      <c r="AE95" s="22" t="s">
        <v>2744</v>
      </c>
      <c r="AF95" s="1" t="s">
        <v>2744</v>
      </c>
      <c r="AG95" s="1" t="s">
        <v>2744</v>
      </c>
      <c r="AH95" s="1" t="s">
        <v>2744</v>
      </c>
      <c r="AI95" s="1" t="s">
        <v>2744</v>
      </c>
      <c r="AJ95" s="1" t="s">
        <v>2744</v>
      </c>
      <c r="AK95" s="1" t="s">
        <v>2744</v>
      </c>
      <c r="AL95" s="1" t="s">
        <v>2744</v>
      </c>
      <c r="AM95" s="1" t="s">
        <v>2744</v>
      </c>
      <c r="AN95" s="1" t="s">
        <v>2744</v>
      </c>
    </row>
    <row r="96" spans="2:40" x14ac:dyDescent="0.3">
      <c r="B96" s="18" t="s">
        <v>1632</v>
      </c>
      <c r="C96" s="25" t="s">
        <v>3897</v>
      </c>
      <c r="D96" s="15" t="s">
        <v>2</v>
      </c>
      <c r="E96" s="37" t="s">
        <v>2</v>
      </c>
      <c r="F96" s="20" t="s">
        <v>2</v>
      </c>
      <c r="G96" s="40" t="s">
        <v>2</v>
      </c>
      <c r="H96" s="32" t="s">
        <v>2</v>
      </c>
      <c r="I96" s="33" t="s">
        <v>2</v>
      </c>
      <c r="J96" s="38" t="s">
        <v>2</v>
      </c>
      <c r="K96" s="4"/>
      <c r="L96" s="41"/>
      <c r="M96" s="4"/>
      <c r="N96" s="4"/>
      <c r="O96" s="4"/>
      <c r="P96" s="4"/>
      <c r="Q96" s="4"/>
      <c r="R96" s="4"/>
      <c r="S96" s="4"/>
      <c r="T96" s="23"/>
      <c r="U96" s="23"/>
      <c r="V96" s="5" t="s">
        <v>2</v>
      </c>
      <c r="W96" s="4"/>
      <c r="X96" s="4"/>
      <c r="Y96" s="10"/>
      <c r="Z96" s="10"/>
      <c r="AA96" s="45" t="s">
        <v>2</v>
      </c>
      <c r="AB96" s="31" t="s">
        <v>2</v>
      </c>
      <c r="AC96" s="5" t="s">
        <v>2</v>
      </c>
      <c r="AD96" s="43" t="s">
        <v>2</v>
      </c>
      <c r="AE96" s="6"/>
      <c r="AF96" s="23"/>
      <c r="AG96" s="6"/>
      <c r="AH96" s="5" t="s">
        <v>2</v>
      </c>
      <c r="AI96" s="5" t="s">
        <v>2</v>
      </c>
      <c r="AJ96" s="5" t="s">
        <v>2</v>
      </c>
      <c r="AK96" s="21" t="s">
        <v>2</v>
      </c>
      <c r="AL96" s="39" t="s">
        <v>2</v>
      </c>
      <c r="AM96" s="26" t="s">
        <v>2</v>
      </c>
      <c r="AN96" s="34" t="s">
        <v>2</v>
      </c>
    </row>
    <row r="97" spans="2:40" x14ac:dyDescent="0.3">
      <c r="B97" s="7" t="s">
        <v>2744</v>
      </c>
      <c r="C97" s="1" t="s">
        <v>2744</v>
      </c>
      <c r="D97" s="8" t="s">
        <v>2744</v>
      </c>
      <c r="E97" s="1" t="s">
        <v>2744</v>
      </c>
      <c r="F97" s="1" t="s">
        <v>2744</v>
      </c>
      <c r="G97" s="1" t="s">
        <v>2744</v>
      </c>
      <c r="H97" s="1" t="s">
        <v>2744</v>
      </c>
      <c r="I97" s="1" t="s">
        <v>2744</v>
      </c>
      <c r="J97" s="1" t="s">
        <v>2744</v>
      </c>
      <c r="K97" s="1" t="s">
        <v>2744</v>
      </c>
      <c r="L97" s="1" t="s">
        <v>2744</v>
      </c>
      <c r="M97" s="1" t="s">
        <v>2744</v>
      </c>
      <c r="N97" s="1" t="s">
        <v>2744</v>
      </c>
      <c r="O97" s="1" t="s">
        <v>2744</v>
      </c>
      <c r="P97" s="1" t="s">
        <v>2744</v>
      </c>
      <c r="Q97" s="1" t="s">
        <v>2744</v>
      </c>
      <c r="R97" s="1" t="s">
        <v>2744</v>
      </c>
      <c r="S97" s="1" t="s">
        <v>2744</v>
      </c>
      <c r="T97" s="1" t="s">
        <v>2744</v>
      </c>
      <c r="U97" s="1" t="s">
        <v>2744</v>
      </c>
      <c r="V97" s="1" t="s">
        <v>2744</v>
      </c>
      <c r="W97" s="1" t="s">
        <v>2744</v>
      </c>
      <c r="X97" s="1" t="s">
        <v>2744</v>
      </c>
      <c r="Y97" s="22" t="s">
        <v>2744</v>
      </c>
      <c r="Z97" s="22" t="s">
        <v>2744</v>
      </c>
      <c r="AA97" s="1" t="s">
        <v>2744</v>
      </c>
      <c r="AB97" s="1" t="s">
        <v>2744</v>
      </c>
      <c r="AC97" s="1" t="s">
        <v>2744</v>
      </c>
      <c r="AD97" s="1" t="s">
        <v>2744</v>
      </c>
      <c r="AE97" s="1" t="s">
        <v>2744</v>
      </c>
      <c r="AF97" s="1" t="s">
        <v>2744</v>
      </c>
      <c r="AG97" s="1" t="s">
        <v>2744</v>
      </c>
      <c r="AH97" s="1" t="s">
        <v>2744</v>
      </c>
      <c r="AI97" s="1" t="s">
        <v>2744</v>
      </c>
      <c r="AJ97" s="1" t="s">
        <v>2744</v>
      </c>
      <c r="AK97" s="1" t="s">
        <v>2744</v>
      </c>
      <c r="AL97" s="1" t="s">
        <v>2744</v>
      </c>
      <c r="AM97" s="1" t="s">
        <v>2744</v>
      </c>
      <c r="AN97" s="1" t="s">
        <v>2744</v>
      </c>
    </row>
    <row r="98" spans="2:40" ht="56" x14ac:dyDescent="0.3">
      <c r="B98" s="19" t="s">
        <v>2542</v>
      </c>
      <c r="C98" s="17" t="s">
        <v>3062</v>
      </c>
      <c r="D98" s="16"/>
      <c r="E98" s="2"/>
      <c r="F98" s="2"/>
      <c r="G98" s="2"/>
      <c r="H98" s="2"/>
      <c r="I98" s="2"/>
      <c r="J98" s="2"/>
      <c r="K98" s="3">
        <f>SUM(GMIC_22A_SCDPT1!SCDPT1_062BEGINNG_7:GMIC_22A_SCDPT1!SCDPT1_062ENDINGG_7)</f>
        <v>0</v>
      </c>
      <c r="L98" s="2"/>
      <c r="M98" s="3">
        <f>SUM(GMIC_22A_SCDPT1!SCDPT1_062BEGINNG_9:GMIC_22A_SCDPT1!SCDPT1_062ENDINGG_9)</f>
        <v>0</v>
      </c>
      <c r="N98" s="3">
        <f>SUM(GMIC_22A_SCDPT1!SCDPT1_062BEGINNG_10:GMIC_22A_SCDPT1!SCDPT1_062ENDINGG_10)</f>
        <v>0</v>
      </c>
      <c r="O98" s="3">
        <f>SUM(GMIC_22A_SCDPT1!SCDPT1_062BEGINNG_11:GMIC_22A_SCDPT1!SCDPT1_062ENDINGG_11)</f>
        <v>0</v>
      </c>
      <c r="P98" s="3">
        <f>SUM(GMIC_22A_SCDPT1!SCDPT1_062BEGINNG_12:GMIC_22A_SCDPT1!SCDPT1_062ENDINGG_12)</f>
        <v>0</v>
      </c>
      <c r="Q98" s="3">
        <f>SUM(GMIC_22A_SCDPT1!SCDPT1_062BEGINNG_13:GMIC_22A_SCDPT1!SCDPT1_062ENDINGG_13)</f>
        <v>0</v>
      </c>
      <c r="R98" s="3">
        <f>SUM(GMIC_22A_SCDPT1!SCDPT1_062BEGINNG_14:GMIC_22A_SCDPT1!SCDPT1_062ENDINGG_14)</f>
        <v>0</v>
      </c>
      <c r="S98" s="3">
        <f>SUM(GMIC_22A_SCDPT1!SCDPT1_062BEGINNG_15:GMIC_22A_SCDPT1!SCDPT1_062ENDINGG_15)</f>
        <v>0</v>
      </c>
      <c r="T98" s="2"/>
      <c r="U98" s="2"/>
      <c r="V98" s="2"/>
      <c r="W98" s="3">
        <f>SUM(GMIC_22A_SCDPT1!SCDPT1_062BEGINNG_19:GMIC_22A_SCDPT1!SCDPT1_062ENDINGG_19)</f>
        <v>0</v>
      </c>
      <c r="X98" s="3">
        <f>SUM(GMIC_22A_SCDPT1!SCDPT1_062BEGINNG_20:GMIC_22A_SCDPT1!SCDPT1_062ENDINGG_20)</f>
        <v>0</v>
      </c>
      <c r="Y98" s="29"/>
      <c r="Z98" s="29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2:40" x14ac:dyDescent="0.3">
      <c r="B99" s="7" t="s">
        <v>2744</v>
      </c>
      <c r="C99" s="1" t="s">
        <v>2744</v>
      </c>
      <c r="D99" s="8" t="s">
        <v>2744</v>
      </c>
      <c r="E99" s="1" t="s">
        <v>2744</v>
      </c>
      <c r="F99" s="1" t="s">
        <v>2744</v>
      </c>
      <c r="G99" s="1" t="s">
        <v>2744</v>
      </c>
      <c r="H99" s="1" t="s">
        <v>2744</v>
      </c>
      <c r="I99" s="1" t="s">
        <v>2744</v>
      </c>
      <c r="J99" s="1" t="s">
        <v>2744</v>
      </c>
      <c r="K99" s="1" t="s">
        <v>2744</v>
      </c>
      <c r="L99" s="1" t="s">
        <v>2744</v>
      </c>
      <c r="M99" s="1" t="s">
        <v>2744</v>
      </c>
      <c r="N99" s="1" t="s">
        <v>2744</v>
      </c>
      <c r="O99" s="1" t="s">
        <v>2744</v>
      </c>
      <c r="P99" s="1" t="s">
        <v>2744</v>
      </c>
      <c r="Q99" s="1" t="s">
        <v>2744</v>
      </c>
      <c r="R99" s="1" t="s">
        <v>2744</v>
      </c>
      <c r="S99" s="1" t="s">
        <v>2744</v>
      </c>
      <c r="T99" s="1" t="s">
        <v>2744</v>
      </c>
      <c r="U99" s="1" t="s">
        <v>2744</v>
      </c>
      <c r="V99" s="1" t="s">
        <v>2744</v>
      </c>
      <c r="W99" s="1" t="s">
        <v>2744</v>
      </c>
      <c r="X99" s="1" t="s">
        <v>2744</v>
      </c>
      <c r="Y99" s="22" t="s">
        <v>2744</v>
      </c>
      <c r="Z99" s="22" t="s">
        <v>2744</v>
      </c>
      <c r="AA99" s="1" t="s">
        <v>2744</v>
      </c>
      <c r="AB99" s="1" t="s">
        <v>2744</v>
      </c>
      <c r="AC99" s="1" t="s">
        <v>2744</v>
      </c>
      <c r="AD99" s="1" t="s">
        <v>2744</v>
      </c>
      <c r="AE99" s="1" t="s">
        <v>2744</v>
      </c>
      <c r="AF99" s="1" t="s">
        <v>2744</v>
      </c>
      <c r="AG99" s="1" t="s">
        <v>2744</v>
      </c>
      <c r="AH99" s="1" t="s">
        <v>2744</v>
      </c>
      <c r="AI99" s="1" t="s">
        <v>2744</v>
      </c>
      <c r="AJ99" s="1" t="s">
        <v>2744</v>
      </c>
      <c r="AK99" s="1" t="s">
        <v>2744</v>
      </c>
      <c r="AL99" s="1" t="s">
        <v>2744</v>
      </c>
      <c r="AM99" s="1" t="s">
        <v>2744</v>
      </c>
      <c r="AN99" s="1" t="s">
        <v>2744</v>
      </c>
    </row>
    <row r="100" spans="2:40" x14ac:dyDescent="0.3">
      <c r="B100" s="18" t="s">
        <v>801</v>
      </c>
      <c r="C100" s="25" t="s">
        <v>3897</v>
      </c>
      <c r="D100" s="15" t="s">
        <v>2</v>
      </c>
      <c r="E100" s="37" t="s">
        <v>2</v>
      </c>
      <c r="F100" s="20" t="s">
        <v>2</v>
      </c>
      <c r="G100" s="40" t="s">
        <v>2</v>
      </c>
      <c r="H100" s="32" t="s">
        <v>2</v>
      </c>
      <c r="I100" s="33" t="s">
        <v>2</v>
      </c>
      <c r="J100" s="38" t="s">
        <v>2</v>
      </c>
      <c r="K100" s="4"/>
      <c r="L100" s="41"/>
      <c r="M100" s="4"/>
      <c r="N100" s="4"/>
      <c r="O100" s="4"/>
      <c r="P100" s="4"/>
      <c r="Q100" s="4"/>
      <c r="R100" s="4"/>
      <c r="S100" s="4"/>
      <c r="T100" s="23"/>
      <c r="U100" s="23"/>
      <c r="V100" s="5" t="s">
        <v>2</v>
      </c>
      <c r="W100" s="4"/>
      <c r="X100" s="4"/>
      <c r="Y100" s="10"/>
      <c r="Z100" s="10"/>
      <c r="AA100" s="45" t="s">
        <v>2</v>
      </c>
      <c r="AB100" s="31" t="s">
        <v>2</v>
      </c>
      <c r="AC100" s="5" t="s">
        <v>2</v>
      </c>
      <c r="AD100" s="43" t="s">
        <v>2</v>
      </c>
      <c r="AE100" s="6"/>
      <c r="AF100" s="23"/>
      <c r="AG100" s="6"/>
      <c r="AH100" s="5" t="s">
        <v>2</v>
      </c>
      <c r="AI100" s="5" t="s">
        <v>2</v>
      </c>
      <c r="AJ100" s="5" t="s">
        <v>2</v>
      </c>
      <c r="AK100" s="21" t="s">
        <v>2</v>
      </c>
      <c r="AL100" s="39" t="s">
        <v>2</v>
      </c>
      <c r="AM100" s="26" t="s">
        <v>2</v>
      </c>
      <c r="AN100" s="34" t="s">
        <v>2</v>
      </c>
    </row>
    <row r="101" spans="2:40" x14ac:dyDescent="0.3">
      <c r="B101" s="7" t="s">
        <v>2744</v>
      </c>
      <c r="C101" s="1" t="s">
        <v>2744</v>
      </c>
      <c r="D101" s="8" t="s">
        <v>2744</v>
      </c>
      <c r="E101" s="1" t="s">
        <v>2744</v>
      </c>
      <c r="F101" s="1" t="s">
        <v>2744</v>
      </c>
      <c r="G101" s="1" t="s">
        <v>2744</v>
      </c>
      <c r="H101" s="1" t="s">
        <v>2744</v>
      </c>
      <c r="I101" s="1" t="s">
        <v>2744</v>
      </c>
      <c r="J101" s="1" t="s">
        <v>2744</v>
      </c>
      <c r="K101" s="1" t="s">
        <v>2744</v>
      </c>
      <c r="L101" s="1" t="s">
        <v>2744</v>
      </c>
      <c r="M101" s="1" t="s">
        <v>2744</v>
      </c>
      <c r="N101" s="1" t="s">
        <v>2744</v>
      </c>
      <c r="O101" s="1" t="s">
        <v>2744</v>
      </c>
      <c r="P101" s="1" t="s">
        <v>2744</v>
      </c>
      <c r="Q101" s="1" t="s">
        <v>2744</v>
      </c>
      <c r="R101" s="1" t="s">
        <v>2744</v>
      </c>
      <c r="S101" s="1" t="s">
        <v>2744</v>
      </c>
      <c r="T101" s="1" t="s">
        <v>2744</v>
      </c>
      <c r="U101" s="1" t="s">
        <v>2744</v>
      </c>
      <c r="V101" s="1" t="s">
        <v>2744</v>
      </c>
      <c r="W101" s="1" t="s">
        <v>2744</v>
      </c>
      <c r="X101" s="1" t="s">
        <v>2744</v>
      </c>
      <c r="Y101" s="22" t="s">
        <v>2744</v>
      </c>
      <c r="Z101" s="22" t="s">
        <v>2744</v>
      </c>
      <c r="AA101" s="1" t="s">
        <v>2744</v>
      </c>
      <c r="AB101" s="1" t="s">
        <v>2744</v>
      </c>
      <c r="AC101" s="1" t="s">
        <v>2744</v>
      </c>
      <c r="AD101" s="1" t="s">
        <v>2744</v>
      </c>
      <c r="AE101" s="1" t="s">
        <v>2744</v>
      </c>
      <c r="AF101" s="1" t="s">
        <v>2744</v>
      </c>
      <c r="AG101" s="1" t="s">
        <v>2744</v>
      </c>
      <c r="AH101" s="1" t="s">
        <v>2744</v>
      </c>
      <c r="AI101" s="1" t="s">
        <v>2744</v>
      </c>
      <c r="AJ101" s="1" t="s">
        <v>2744</v>
      </c>
      <c r="AK101" s="1" t="s">
        <v>2744</v>
      </c>
      <c r="AL101" s="1" t="s">
        <v>2744</v>
      </c>
      <c r="AM101" s="1" t="s">
        <v>2744</v>
      </c>
      <c r="AN101" s="1" t="s">
        <v>2744</v>
      </c>
    </row>
    <row r="102" spans="2:40" ht="56" x14ac:dyDescent="0.3">
      <c r="B102" s="19" t="s">
        <v>1633</v>
      </c>
      <c r="C102" s="17" t="s">
        <v>13</v>
      </c>
      <c r="D102" s="16"/>
      <c r="E102" s="2"/>
      <c r="F102" s="2"/>
      <c r="G102" s="2"/>
      <c r="H102" s="2"/>
      <c r="I102" s="2"/>
      <c r="J102" s="2"/>
      <c r="K102" s="3">
        <f>SUM(GMIC_22A_SCDPT1!SCDPT1_063BEGINNG_7:GMIC_22A_SCDPT1!SCDPT1_063ENDINGG_7)</f>
        <v>0</v>
      </c>
      <c r="L102" s="2"/>
      <c r="M102" s="3">
        <f>SUM(GMIC_22A_SCDPT1!SCDPT1_063BEGINNG_9:GMIC_22A_SCDPT1!SCDPT1_063ENDINGG_9)</f>
        <v>0</v>
      </c>
      <c r="N102" s="3">
        <f>SUM(GMIC_22A_SCDPT1!SCDPT1_063BEGINNG_10:GMIC_22A_SCDPT1!SCDPT1_063ENDINGG_10)</f>
        <v>0</v>
      </c>
      <c r="O102" s="3">
        <f>SUM(GMIC_22A_SCDPT1!SCDPT1_063BEGINNG_11:GMIC_22A_SCDPT1!SCDPT1_063ENDINGG_11)</f>
        <v>0</v>
      </c>
      <c r="P102" s="3">
        <f>SUM(GMIC_22A_SCDPT1!SCDPT1_063BEGINNG_12:GMIC_22A_SCDPT1!SCDPT1_063ENDINGG_12)</f>
        <v>0</v>
      </c>
      <c r="Q102" s="3">
        <f>SUM(GMIC_22A_SCDPT1!SCDPT1_063BEGINNG_13:GMIC_22A_SCDPT1!SCDPT1_063ENDINGG_13)</f>
        <v>0</v>
      </c>
      <c r="R102" s="3">
        <f>SUM(GMIC_22A_SCDPT1!SCDPT1_063BEGINNG_14:GMIC_22A_SCDPT1!SCDPT1_063ENDINGG_14)</f>
        <v>0</v>
      </c>
      <c r="S102" s="3">
        <f>SUM(GMIC_22A_SCDPT1!SCDPT1_063BEGINNG_15:GMIC_22A_SCDPT1!SCDPT1_063ENDINGG_15)</f>
        <v>0</v>
      </c>
      <c r="T102" s="2"/>
      <c r="U102" s="2"/>
      <c r="V102" s="2"/>
      <c r="W102" s="3">
        <f>SUM(GMIC_22A_SCDPT1!SCDPT1_063BEGINNG_19:GMIC_22A_SCDPT1!SCDPT1_063ENDINGG_19)</f>
        <v>0</v>
      </c>
      <c r="X102" s="3">
        <f>SUM(GMIC_22A_SCDPT1!SCDPT1_063BEGINNG_20:GMIC_22A_SCDPT1!SCDPT1_063ENDINGG_20)</f>
        <v>0</v>
      </c>
      <c r="Y102" s="29"/>
      <c r="Z102" s="29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2:40" x14ac:dyDescent="0.3">
      <c r="B103" s="7" t="s">
        <v>2744</v>
      </c>
      <c r="C103" s="1" t="s">
        <v>2744</v>
      </c>
      <c r="D103" s="8" t="s">
        <v>2744</v>
      </c>
      <c r="E103" s="1" t="s">
        <v>2744</v>
      </c>
      <c r="F103" s="1" t="s">
        <v>2744</v>
      </c>
      <c r="G103" s="1" t="s">
        <v>2744</v>
      </c>
      <c r="H103" s="1" t="s">
        <v>2744</v>
      </c>
      <c r="I103" s="1" t="s">
        <v>2744</v>
      </c>
      <c r="J103" s="1" t="s">
        <v>2744</v>
      </c>
      <c r="K103" s="1" t="s">
        <v>2744</v>
      </c>
      <c r="L103" s="1" t="s">
        <v>2744</v>
      </c>
      <c r="M103" s="1" t="s">
        <v>2744</v>
      </c>
      <c r="N103" s="1" t="s">
        <v>2744</v>
      </c>
      <c r="O103" s="1" t="s">
        <v>2744</v>
      </c>
      <c r="P103" s="1" t="s">
        <v>2744</v>
      </c>
      <c r="Q103" s="1" t="s">
        <v>2744</v>
      </c>
      <c r="R103" s="1" t="s">
        <v>2744</v>
      </c>
      <c r="S103" s="1" t="s">
        <v>2744</v>
      </c>
      <c r="T103" s="1" t="s">
        <v>2744</v>
      </c>
      <c r="U103" s="1" t="s">
        <v>2744</v>
      </c>
      <c r="V103" s="1" t="s">
        <v>2744</v>
      </c>
      <c r="W103" s="1" t="s">
        <v>2744</v>
      </c>
      <c r="X103" s="1" t="s">
        <v>2744</v>
      </c>
      <c r="Y103" s="22" t="s">
        <v>2744</v>
      </c>
      <c r="Z103" s="22" t="s">
        <v>2744</v>
      </c>
      <c r="AA103" s="1" t="s">
        <v>2744</v>
      </c>
      <c r="AB103" s="1" t="s">
        <v>2744</v>
      </c>
      <c r="AC103" s="1" t="s">
        <v>2744</v>
      </c>
      <c r="AD103" s="1" t="s">
        <v>2744</v>
      </c>
      <c r="AE103" s="22" t="s">
        <v>2744</v>
      </c>
      <c r="AF103" s="1" t="s">
        <v>2744</v>
      </c>
      <c r="AG103" s="1" t="s">
        <v>2744</v>
      </c>
      <c r="AH103" s="1" t="s">
        <v>2744</v>
      </c>
      <c r="AI103" s="1" t="s">
        <v>2744</v>
      </c>
      <c r="AJ103" s="1" t="s">
        <v>2744</v>
      </c>
      <c r="AK103" s="1" t="s">
        <v>2744</v>
      </c>
      <c r="AL103" s="1" t="s">
        <v>2744</v>
      </c>
      <c r="AM103" s="1" t="s">
        <v>2744</v>
      </c>
      <c r="AN103" s="1" t="s">
        <v>2744</v>
      </c>
    </row>
    <row r="104" spans="2:40" x14ac:dyDescent="0.3">
      <c r="B104" s="18" t="s">
        <v>14</v>
      </c>
      <c r="C104" s="25" t="s">
        <v>3897</v>
      </c>
      <c r="D104" s="15" t="s">
        <v>2</v>
      </c>
      <c r="E104" s="37" t="s">
        <v>2</v>
      </c>
      <c r="F104" s="20" t="s">
        <v>2</v>
      </c>
      <c r="G104" s="40" t="s">
        <v>2</v>
      </c>
      <c r="H104" s="32" t="s">
        <v>2</v>
      </c>
      <c r="I104" s="33" t="s">
        <v>2</v>
      </c>
      <c r="J104" s="38" t="s">
        <v>2</v>
      </c>
      <c r="K104" s="4"/>
      <c r="L104" s="41"/>
      <c r="M104" s="4"/>
      <c r="N104" s="4"/>
      <c r="O104" s="4"/>
      <c r="P104" s="4"/>
      <c r="Q104" s="4"/>
      <c r="R104" s="4"/>
      <c r="S104" s="4"/>
      <c r="T104" s="23"/>
      <c r="U104" s="23"/>
      <c r="V104" s="5" t="s">
        <v>2</v>
      </c>
      <c r="W104" s="4"/>
      <c r="X104" s="4"/>
      <c r="Y104" s="10"/>
      <c r="Z104" s="10"/>
      <c r="AA104" s="45" t="s">
        <v>2</v>
      </c>
      <c r="AB104" s="31" t="s">
        <v>2</v>
      </c>
      <c r="AC104" s="5" t="s">
        <v>2</v>
      </c>
      <c r="AD104" s="43" t="s">
        <v>2</v>
      </c>
      <c r="AE104" s="10"/>
      <c r="AF104" s="23"/>
      <c r="AG104" s="6"/>
      <c r="AH104" s="5" t="s">
        <v>2</v>
      </c>
      <c r="AI104" s="5" t="s">
        <v>2</v>
      </c>
      <c r="AJ104" s="5" t="s">
        <v>2</v>
      </c>
      <c r="AK104" s="21" t="s">
        <v>2</v>
      </c>
      <c r="AL104" s="39" t="s">
        <v>2</v>
      </c>
      <c r="AM104" s="26" t="s">
        <v>2</v>
      </c>
      <c r="AN104" s="34" t="s">
        <v>2</v>
      </c>
    </row>
    <row r="105" spans="2:40" x14ac:dyDescent="0.3">
      <c r="B105" s="7" t="s">
        <v>2744</v>
      </c>
      <c r="C105" s="1" t="s">
        <v>2744</v>
      </c>
      <c r="D105" s="8" t="s">
        <v>2744</v>
      </c>
      <c r="E105" s="1" t="s">
        <v>2744</v>
      </c>
      <c r="F105" s="1" t="s">
        <v>2744</v>
      </c>
      <c r="G105" s="1" t="s">
        <v>2744</v>
      </c>
      <c r="H105" s="1" t="s">
        <v>2744</v>
      </c>
      <c r="I105" s="1" t="s">
        <v>2744</v>
      </c>
      <c r="J105" s="1" t="s">
        <v>2744</v>
      </c>
      <c r="K105" s="1" t="s">
        <v>2744</v>
      </c>
      <c r="L105" s="1" t="s">
        <v>2744</v>
      </c>
      <c r="M105" s="1" t="s">
        <v>2744</v>
      </c>
      <c r="N105" s="1" t="s">
        <v>2744</v>
      </c>
      <c r="O105" s="1" t="s">
        <v>2744</v>
      </c>
      <c r="P105" s="1" t="s">
        <v>2744</v>
      </c>
      <c r="Q105" s="1" t="s">
        <v>2744</v>
      </c>
      <c r="R105" s="1" t="s">
        <v>2744</v>
      </c>
      <c r="S105" s="1" t="s">
        <v>2744</v>
      </c>
      <c r="T105" s="1" t="s">
        <v>2744</v>
      </c>
      <c r="U105" s="1" t="s">
        <v>2744</v>
      </c>
      <c r="V105" s="1" t="s">
        <v>2744</v>
      </c>
      <c r="W105" s="1" t="s">
        <v>2744</v>
      </c>
      <c r="X105" s="1" t="s">
        <v>2744</v>
      </c>
      <c r="Y105" s="22" t="s">
        <v>2744</v>
      </c>
      <c r="Z105" s="22" t="s">
        <v>2744</v>
      </c>
      <c r="AA105" s="1" t="s">
        <v>2744</v>
      </c>
      <c r="AB105" s="1" t="s">
        <v>2744</v>
      </c>
      <c r="AC105" s="1" t="s">
        <v>2744</v>
      </c>
      <c r="AD105" s="1" t="s">
        <v>2744</v>
      </c>
      <c r="AE105" s="1" t="s">
        <v>2744</v>
      </c>
      <c r="AF105" s="1" t="s">
        <v>2744</v>
      </c>
      <c r="AG105" s="1" t="s">
        <v>2744</v>
      </c>
      <c r="AH105" s="1" t="s">
        <v>2744</v>
      </c>
      <c r="AI105" s="1" t="s">
        <v>2744</v>
      </c>
      <c r="AJ105" s="1" t="s">
        <v>2744</v>
      </c>
      <c r="AK105" s="1" t="s">
        <v>2744</v>
      </c>
      <c r="AL105" s="1" t="s">
        <v>2744</v>
      </c>
      <c r="AM105" s="1" t="s">
        <v>2744</v>
      </c>
      <c r="AN105" s="1" t="s">
        <v>2744</v>
      </c>
    </row>
    <row r="106" spans="2:40" ht="56" x14ac:dyDescent="0.3">
      <c r="B106" s="19" t="s">
        <v>802</v>
      </c>
      <c r="C106" s="17" t="s">
        <v>803</v>
      </c>
      <c r="D106" s="16"/>
      <c r="E106" s="2"/>
      <c r="F106" s="2"/>
      <c r="G106" s="2"/>
      <c r="H106" s="2"/>
      <c r="I106" s="2"/>
      <c r="J106" s="2"/>
      <c r="K106" s="3">
        <f>SUM(GMIC_22A_SCDPT1!SCDPT1_064BEGINNG_7:GMIC_22A_SCDPT1!SCDPT1_064ENDINGG_7)</f>
        <v>0</v>
      </c>
      <c r="L106" s="2"/>
      <c r="M106" s="3">
        <f>SUM(GMIC_22A_SCDPT1!SCDPT1_064BEGINNG_9:GMIC_22A_SCDPT1!SCDPT1_064ENDINGG_9)</f>
        <v>0</v>
      </c>
      <c r="N106" s="3">
        <f>SUM(GMIC_22A_SCDPT1!SCDPT1_064BEGINNG_10:GMIC_22A_SCDPT1!SCDPT1_064ENDINGG_10)</f>
        <v>0</v>
      </c>
      <c r="O106" s="3">
        <f>SUM(GMIC_22A_SCDPT1!SCDPT1_064BEGINNG_11:GMIC_22A_SCDPT1!SCDPT1_064ENDINGG_11)</f>
        <v>0</v>
      </c>
      <c r="P106" s="3">
        <f>SUM(GMIC_22A_SCDPT1!SCDPT1_064BEGINNG_12:GMIC_22A_SCDPT1!SCDPT1_064ENDINGG_12)</f>
        <v>0</v>
      </c>
      <c r="Q106" s="3">
        <f>SUM(GMIC_22A_SCDPT1!SCDPT1_064BEGINNG_13:GMIC_22A_SCDPT1!SCDPT1_064ENDINGG_13)</f>
        <v>0</v>
      </c>
      <c r="R106" s="3">
        <f>SUM(GMIC_22A_SCDPT1!SCDPT1_064BEGINNG_14:GMIC_22A_SCDPT1!SCDPT1_064ENDINGG_14)</f>
        <v>0</v>
      </c>
      <c r="S106" s="3">
        <f>SUM(GMIC_22A_SCDPT1!SCDPT1_064BEGINNG_15:GMIC_22A_SCDPT1!SCDPT1_064ENDINGG_15)</f>
        <v>0</v>
      </c>
      <c r="T106" s="2"/>
      <c r="U106" s="2"/>
      <c r="V106" s="2"/>
      <c r="W106" s="3">
        <f>SUM(GMIC_22A_SCDPT1!SCDPT1_064BEGINNG_19:GMIC_22A_SCDPT1!SCDPT1_064ENDINGG_19)</f>
        <v>0</v>
      </c>
      <c r="X106" s="3">
        <f>SUM(GMIC_22A_SCDPT1!SCDPT1_064BEGINNG_20:GMIC_22A_SCDPT1!SCDPT1_064ENDINGG_20)</f>
        <v>0</v>
      </c>
      <c r="Y106" s="29"/>
      <c r="Z106" s="29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2:40" ht="28" x14ac:dyDescent="0.3">
      <c r="B107" s="19" t="s">
        <v>15</v>
      </c>
      <c r="C107" s="17" t="s">
        <v>276</v>
      </c>
      <c r="D107" s="16"/>
      <c r="E107" s="2"/>
      <c r="F107" s="2"/>
      <c r="G107" s="2"/>
      <c r="H107" s="2"/>
      <c r="I107" s="2"/>
      <c r="J107" s="2"/>
      <c r="K107" s="3">
        <f>GMIC_22A_SCDPT1!SCDPT1_0619999999_7+GMIC_22A_SCDPT1!SCDPT1_0629999999_7+GMIC_22A_SCDPT1!SCDPT1_0639999999_7+GMIC_22A_SCDPT1!SCDPT1_0649999999_7</f>
        <v>45671590</v>
      </c>
      <c r="L107" s="2"/>
      <c r="M107" s="3">
        <f>GMIC_22A_SCDPT1!SCDPT1_0619999999_9+GMIC_22A_SCDPT1!SCDPT1_0629999999_9+GMIC_22A_SCDPT1!SCDPT1_0639999999_9+GMIC_22A_SCDPT1!SCDPT1_0649999999_9</f>
        <v>46131545</v>
      </c>
      <c r="N107" s="3">
        <f>GMIC_22A_SCDPT1!SCDPT1_0619999999_10+GMIC_22A_SCDPT1!SCDPT1_0629999999_10+GMIC_22A_SCDPT1!SCDPT1_0639999999_10+GMIC_22A_SCDPT1!SCDPT1_0649999999_10</f>
        <v>57065000</v>
      </c>
      <c r="O107" s="3">
        <f>GMIC_22A_SCDPT1!SCDPT1_0619999999_11+GMIC_22A_SCDPT1!SCDPT1_0629999999_11+GMIC_22A_SCDPT1!SCDPT1_0639999999_11+GMIC_22A_SCDPT1!SCDPT1_0649999999_11</f>
        <v>51721376</v>
      </c>
      <c r="P107" s="3">
        <f>GMIC_22A_SCDPT1!SCDPT1_0619999999_12+GMIC_22A_SCDPT1!SCDPT1_0629999999_12+GMIC_22A_SCDPT1!SCDPT1_0639999999_12+GMIC_22A_SCDPT1!SCDPT1_0649999999_12</f>
        <v>0</v>
      </c>
      <c r="Q107" s="3">
        <f>GMIC_22A_SCDPT1!SCDPT1_0619999999_13+GMIC_22A_SCDPT1!SCDPT1_0629999999_13+GMIC_22A_SCDPT1!SCDPT1_0639999999_13+GMIC_22A_SCDPT1!SCDPT1_0649999999_13</f>
        <v>656924</v>
      </c>
      <c r="R107" s="3">
        <f>GMIC_22A_SCDPT1!SCDPT1_0619999999_14+GMIC_22A_SCDPT1!SCDPT1_0629999999_14+GMIC_22A_SCDPT1!SCDPT1_0639999999_14+GMIC_22A_SCDPT1!SCDPT1_0649999999_14</f>
        <v>0</v>
      </c>
      <c r="S107" s="3">
        <f>GMIC_22A_SCDPT1!SCDPT1_0619999999_15+GMIC_22A_SCDPT1!SCDPT1_0629999999_15+GMIC_22A_SCDPT1!SCDPT1_0639999999_15+GMIC_22A_SCDPT1!SCDPT1_0649999999_15</f>
        <v>0</v>
      </c>
      <c r="T107" s="2"/>
      <c r="U107" s="2"/>
      <c r="V107" s="2"/>
      <c r="W107" s="3">
        <f>GMIC_22A_SCDPT1!SCDPT1_0619999999_19+GMIC_22A_SCDPT1!SCDPT1_0629999999_19+GMIC_22A_SCDPT1!SCDPT1_0639999999_19+GMIC_22A_SCDPT1!SCDPT1_0649999999_19</f>
        <v>340678</v>
      </c>
      <c r="X107" s="3">
        <f>GMIC_22A_SCDPT1!SCDPT1_0619999999_20+GMIC_22A_SCDPT1!SCDPT1_0629999999_20+GMIC_22A_SCDPT1!SCDPT1_0639999999_20+GMIC_22A_SCDPT1!SCDPT1_0649999999_20</f>
        <v>819382</v>
      </c>
      <c r="Y107" s="29"/>
      <c r="Z107" s="29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2:40" x14ac:dyDescent="0.3">
      <c r="B108" s="7" t="s">
        <v>2744</v>
      </c>
      <c r="C108" s="1" t="s">
        <v>2744</v>
      </c>
      <c r="D108" s="8" t="s">
        <v>2744</v>
      </c>
      <c r="E108" s="1" t="s">
        <v>2744</v>
      </c>
      <c r="F108" s="1" t="s">
        <v>2744</v>
      </c>
      <c r="G108" s="1" t="s">
        <v>2744</v>
      </c>
      <c r="H108" s="1" t="s">
        <v>2744</v>
      </c>
      <c r="I108" s="1" t="s">
        <v>2744</v>
      </c>
      <c r="J108" s="1" t="s">
        <v>2744</v>
      </c>
      <c r="K108" s="1" t="s">
        <v>2744</v>
      </c>
      <c r="L108" s="1" t="s">
        <v>2744</v>
      </c>
      <c r="M108" s="1" t="s">
        <v>2744</v>
      </c>
      <c r="N108" s="1" t="s">
        <v>2744</v>
      </c>
      <c r="O108" s="1" t="s">
        <v>2744</v>
      </c>
      <c r="P108" s="1" t="s">
        <v>2744</v>
      </c>
      <c r="Q108" s="1" t="s">
        <v>2744</v>
      </c>
      <c r="R108" s="1" t="s">
        <v>2744</v>
      </c>
      <c r="S108" s="1" t="s">
        <v>2744</v>
      </c>
      <c r="T108" s="1" t="s">
        <v>2744</v>
      </c>
      <c r="U108" s="1" t="s">
        <v>2744</v>
      </c>
      <c r="V108" s="1" t="s">
        <v>2744</v>
      </c>
      <c r="W108" s="1" t="s">
        <v>2744</v>
      </c>
      <c r="X108" s="1" t="s">
        <v>2744</v>
      </c>
      <c r="Y108" s="22" t="s">
        <v>2744</v>
      </c>
      <c r="Z108" s="22" t="s">
        <v>2744</v>
      </c>
      <c r="AA108" s="1" t="s">
        <v>2744</v>
      </c>
      <c r="AB108" s="1" t="s">
        <v>2744</v>
      </c>
      <c r="AC108" s="1" t="s">
        <v>2744</v>
      </c>
      <c r="AD108" s="1" t="s">
        <v>2744</v>
      </c>
      <c r="AE108" s="1" t="s">
        <v>2744</v>
      </c>
      <c r="AF108" s="1" t="s">
        <v>2744</v>
      </c>
      <c r="AG108" s="1" t="s">
        <v>2744</v>
      </c>
      <c r="AH108" s="1" t="s">
        <v>2744</v>
      </c>
      <c r="AI108" s="1" t="s">
        <v>2744</v>
      </c>
      <c r="AJ108" s="1" t="s">
        <v>2744</v>
      </c>
      <c r="AK108" s="1" t="s">
        <v>2744</v>
      </c>
      <c r="AL108" s="1" t="s">
        <v>2744</v>
      </c>
      <c r="AM108" s="1" t="s">
        <v>2744</v>
      </c>
      <c r="AN108" s="1" t="s">
        <v>2744</v>
      </c>
    </row>
    <row r="109" spans="2:40" x14ac:dyDescent="0.3">
      <c r="B109" s="18" t="s">
        <v>4191</v>
      </c>
      <c r="C109" s="47" t="s">
        <v>2279</v>
      </c>
      <c r="D109" s="15" t="s">
        <v>1634</v>
      </c>
      <c r="E109" s="37" t="s">
        <v>2</v>
      </c>
      <c r="F109" s="20" t="s">
        <v>2</v>
      </c>
      <c r="G109" s="40" t="s">
        <v>2745</v>
      </c>
      <c r="H109" s="32" t="s">
        <v>2745</v>
      </c>
      <c r="I109" s="33" t="s">
        <v>1164</v>
      </c>
      <c r="J109" s="38" t="s">
        <v>270</v>
      </c>
      <c r="K109" s="4">
        <v>3020000</v>
      </c>
      <c r="L109" s="41">
        <v>80.233000000000004</v>
      </c>
      <c r="M109" s="4">
        <v>2423037</v>
      </c>
      <c r="N109" s="4">
        <v>3020000</v>
      </c>
      <c r="O109" s="4">
        <v>3020000</v>
      </c>
      <c r="P109" s="4">
        <v>0</v>
      </c>
      <c r="Q109" s="4">
        <v>0</v>
      </c>
      <c r="R109" s="4">
        <v>0</v>
      </c>
      <c r="S109" s="4">
        <v>0</v>
      </c>
      <c r="T109" s="23">
        <v>2.056</v>
      </c>
      <c r="U109" s="23">
        <v>2.056</v>
      </c>
      <c r="V109" s="5" t="s">
        <v>10</v>
      </c>
      <c r="W109" s="4">
        <v>20697</v>
      </c>
      <c r="X109" s="4">
        <v>54675</v>
      </c>
      <c r="Y109" s="14">
        <v>44476</v>
      </c>
      <c r="Z109" s="14">
        <v>48092</v>
      </c>
      <c r="AA109" s="45" t="s">
        <v>277</v>
      </c>
      <c r="AB109" s="31" t="s">
        <v>3892</v>
      </c>
      <c r="AC109" s="5" t="s">
        <v>7</v>
      </c>
      <c r="AD109" s="2"/>
      <c r="AE109" s="6"/>
      <c r="AF109" s="23"/>
      <c r="AG109" s="6"/>
      <c r="AH109" s="5" t="s">
        <v>2</v>
      </c>
      <c r="AI109" s="5" t="s">
        <v>2543</v>
      </c>
      <c r="AJ109" s="5" t="s">
        <v>804</v>
      </c>
      <c r="AK109" s="21" t="s">
        <v>2</v>
      </c>
      <c r="AL109" s="39" t="s">
        <v>3894</v>
      </c>
      <c r="AM109" s="26" t="s">
        <v>4179</v>
      </c>
      <c r="AN109" s="34" t="s">
        <v>1625</v>
      </c>
    </row>
    <row r="110" spans="2:40" x14ac:dyDescent="0.3">
      <c r="B110" s="18" t="s">
        <v>805</v>
      </c>
      <c r="C110" s="47" t="s">
        <v>806</v>
      </c>
      <c r="D110" s="15" t="s">
        <v>1634</v>
      </c>
      <c r="E110" s="68" t="s">
        <v>2</v>
      </c>
      <c r="F110" s="55" t="s">
        <v>2</v>
      </c>
      <c r="G110" s="40" t="s">
        <v>2745</v>
      </c>
      <c r="H110" s="71" t="s">
        <v>2745</v>
      </c>
      <c r="I110" s="67" t="s">
        <v>1164</v>
      </c>
      <c r="J110" s="73" t="s">
        <v>270</v>
      </c>
      <c r="K110" s="4">
        <v>2000000</v>
      </c>
      <c r="L110" s="41">
        <v>78.716999999999999</v>
      </c>
      <c r="M110" s="4">
        <v>1574340</v>
      </c>
      <c r="N110" s="4">
        <v>2000000</v>
      </c>
      <c r="O110" s="4">
        <v>2000000</v>
      </c>
      <c r="P110" s="4">
        <v>0</v>
      </c>
      <c r="Q110" s="4">
        <v>0</v>
      </c>
      <c r="R110" s="4">
        <v>0</v>
      </c>
      <c r="S110" s="4">
        <v>0</v>
      </c>
      <c r="T110" s="23">
        <v>2.1560000000000001</v>
      </c>
      <c r="U110" s="23">
        <v>2.1560000000000001</v>
      </c>
      <c r="V110" s="5" t="s">
        <v>10</v>
      </c>
      <c r="W110" s="4">
        <v>14373</v>
      </c>
      <c r="X110" s="4">
        <v>37970</v>
      </c>
      <c r="Y110" s="14">
        <v>44476</v>
      </c>
      <c r="Z110" s="14">
        <v>48458</v>
      </c>
      <c r="AA110" s="70" t="s">
        <v>277</v>
      </c>
      <c r="AB110" s="69" t="s">
        <v>3892</v>
      </c>
      <c r="AC110" s="5" t="s">
        <v>7</v>
      </c>
      <c r="AD110" s="2"/>
      <c r="AE110" s="6"/>
      <c r="AF110" s="23"/>
      <c r="AG110" s="6"/>
      <c r="AH110" s="5" t="s">
        <v>2</v>
      </c>
      <c r="AI110" s="5" t="s">
        <v>2543</v>
      </c>
      <c r="AJ110" s="5" t="s">
        <v>804</v>
      </c>
      <c r="AK110" s="21" t="s">
        <v>2</v>
      </c>
      <c r="AL110" s="72" t="s">
        <v>3894</v>
      </c>
      <c r="AM110" s="54" t="s">
        <v>4179</v>
      </c>
      <c r="AN110" s="34" t="s">
        <v>1625</v>
      </c>
    </row>
    <row r="111" spans="2:40" x14ac:dyDescent="0.3">
      <c r="B111" s="18" t="s">
        <v>1926</v>
      </c>
      <c r="C111" s="47" t="s">
        <v>807</v>
      </c>
      <c r="D111" s="15" t="s">
        <v>1634</v>
      </c>
      <c r="E111" s="68" t="s">
        <v>2</v>
      </c>
      <c r="F111" s="55" t="s">
        <v>2</v>
      </c>
      <c r="G111" s="40" t="s">
        <v>2745</v>
      </c>
      <c r="H111" s="71" t="s">
        <v>2745</v>
      </c>
      <c r="I111" s="67" t="s">
        <v>1164</v>
      </c>
      <c r="J111" s="73" t="s">
        <v>270</v>
      </c>
      <c r="K111" s="4">
        <v>3000000</v>
      </c>
      <c r="L111" s="41">
        <v>77.846000000000004</v>
      </c>
      <c r="M111" s="4">
        <v>2335380</v>
      </c>
      <c r="N111" s="4">
        <v>3000000</v>
      </c>
      <c r="O111" s="4">
        <v>3000000</v>
      </c>
      <c r="P111" s="4">
        <v>0</v>
      </c>
      <c r="Q111" s="4">
        <v>0</v>
      </c>
      <c r="R111" s="4">
        <v>0</v>
      </c>
      <c r="S111" s="4">
        <v>0</v>
      </c>
      <c r="T111" s="23">
        <v>2.2559999999999998</v>
      </c>
      <c r="U111" s="23">
        <v>2.2559999999999998</v>
      </c>
      <c r="V111" s="5" t="s">
        <v>10</v>
      </c>
      <c r="W111" s="4">
        <v>22560</v>
      </c>
      <c r="X111" s="4">
        <v>59596</v>
      </c>
      <c r="Y111" s="14">
        <v>44476</v>
      </c>
      <c r="Z111" s="14">
        <v>48823</v>
      </c>
      <c r="AA111" s="70" t="s">
        <v>277</v>
      </c>
      <c r="AB111" s="69" t="s">
        <v>3892</v>
      </c>
      <c r="AC111" s="5" t="s">
        <v>7</v>
      </c>
      <c r="AD111" s="2"/>
      <c r="AE111" s="6"/>
      <c r="AF111" s="23"/>
      <c r="AG111" s="6"/>
      <c r="AH111" s="5" t="s">
        <v>2</v>
      </c>
      <c r="AI111" s="5" t="s">
        <v>2543</v>
      </c>
      <c r="AJ111" s="5" t="s">
        <v>804</v>
      </c>
      <c r="AK111" s="21" t="s">
        <v>2</v>
      </c>
      <c r="AL111" s="72" t="s">
        <v>3894</v>
      </c>
      <c r="AM111" s="54" t="s">
        <v>4179</v>
      </c>
      <c r="AN111" s="34" t="s">
        <v>1625</v>
      </c>
    </row>
    <row r="112" spans="2:40" x14ac:dyDescent="0.3">
      <c r="B112" s="18" t="s">
        <v>3063</v>
      </c>
      <c r="C112" s="47" t="s">
        <v>3418</v>
      </c>
      <c r="D112" s="15" t="s">
        <v>1634</v>
      </c>
      <c r="E112" s="68" t="s">
        <v>2</v>
      </c>
      <c r="F112" s="55" t="s">
        <v>2</v>
      </c>
      <c r="G112" s="40" t="s">
        <v>2745</v>
      </c>
      <c r="H112" s="71" t="s">
        <v>2745</v>
      </c>
      <c r="I112" s="67" t="s">
        <v>1164</v>
      </c>
      <c r="J112" s="73" t="s">
        <v>270</v>
      </c>
      <c r="K112" s="4">
        <v>5000000</v>
      </c>
      <c r="L112" s="41">
        <v>77.438000000000002</v>
      </c>
      <c r="M112" s="4">
        <v>3871900</v>
      </c>
      <c r="N112" s="4">
        <v>5000000</v>
      </c>
      <c r="O112" s="4">
        <v>5000000</v>
      </c>
      <c r="P112" s="4">
        <v>0</v>
      </c>
      <c r="Q112" s="4">
        <v>0</v>
      </c>
      <c r="R112" s="4">
        <v>0</v>
      </c>
      <c r="S112" s="4">
        <v>0</v>
      </c>
      <c r="T112" s="23">
        <v>2.4060000000000001</v>
      </c>
      <c r="U112" s="23">
        <v>2.4060000000000001</v>
      </c>
      <c r="V112" s="5" t="s">
        <v>10</v>
      </c>
      <c r="W112" s="4">
        <v>40100</v>
      </c>
      <c r="X112" s="4">
        <v>105931</v>
      </c>
      <c r="Y112" s="14">
        <v>44476</v>
      </c>
      <c r="Z112" s="14">
        <v>49188</v>
      </c>
      <c r="AA112" s="70" t="s">
        <v>277</v>
      </c>
      <c r="AB112" s="69" t="s">
        <v>3892</v>
      </c>
      <c r="AC112" s="5" t="s">
        <v>7</v>
      </c>
      <c r="AD112" s="2"/>
      <c r="AE112" s="9">
        <v>48092</v>
      </c>
      <c r="AF112" s="23">
        <v>100</v>
      </c>
      <c r="AG112" s="6"/>
      <c r="AH112" s="5" t="s">
        <v>2</v>
      </c>
      <c r="AI112" s="5" t="s">
        <v>2543</v>
      </c>
      <c r="AJ112" s="5" t="s">
        <v>804</v>
      </c>
      <c r="AK112" s="21" t="s">
        <v>2</v>
      </c>
      <c r="AL112" s="72" t="s">
        <v>3894</v>
      </c>
      <c r="AM112" s="54" t="s">
        <v>4179</v>
      </c>
      <c r="AN112" s="34" t="s">
        <v>1625</v>
      </c>
    </row>
    <row r="113" spans="2:40" x14ac:dyDescent="0.3">
      <c r="B113" s="18" t="s">
        <v>4192</v>
      </c>
      <c r="C113" s="47" t="s">
        <v>808</v>
      </c>
      <c r="D113" s="15" t="s">
        <v>4193</v>
      </c>
      <c r="E113" s="68" t="s">
        <v>2</v>
      </c>
      <c r="F113" s="55" t="s">
        <v>2</v>
      </c>
      <c r="G113" s="40" t="s">
        <v>2745</v>
      </c>
      <c r="H113" s="71" t="s">
        <v>2745</v>
      </c>
      <c r="I113" s="67" t="s">
        <v>1414</v>
      </c>
      <c r="J113" s="73" t="s">
        <v>270</v>
      </c>
      <c r="K113" s="4">
        <v>2050000</v>
      </c>
      <c r="L113" s="41">
        <v>96.781999999999996</v>
      </c>
      <c r="M113" s="4">
        <v>1984031</v>
      </c>
      <c r="N113" s="4">
        <v>2050000</v>
      </c>
      <c r="O113" s="4">
        <v>2050000</v>
      </c>
      <c r="P113" s="4">
        <v>0</v>
      </c>
      <c r="Q113" s="4">
        <v>0</v>
      </c>
      <c r="R113" s="4">
        <v>0</v>
      </c>
      <c r="S113" s="4">
        <v>0</v>
      </c>
      <c r="T113" s="23">
        <v>3.1629999999999998</v>
      </c>
      <c r="U113" s="23">
        <v>3.1629999999999998</v>
      </c>
      <c r="V113" s="5" t="s">
        <v>10</v>
      </c>
      <c r="W113" s="4">
        <v>19092</v>
      </c>
      <c r="X113" s="4">
        <v>64842</v>
      </c>
      <c r="Y113" s="14">
        <v>42706</v>
      </c>
      <c r="Z113" s="14">
        <v>45915</v>
      </c>
      <c r="AA113" s="70" t="s">
        <v>277</v>
      </c>
      <c r="AB113" s="69" t="s">
        <v>3892</v>
      </c>
      <c r="AC113" s="5" t="s">
        <v>7</v>
      </c>
      <c r="AD113" s="2"/>
      <c r="AE113" s="10"/>
      <c r="AF113" s="23"/>
      <c r="AG113" s="6"/>
      <c r="AH113" s="5" t="s">
        <v>2</v>
      </c>
      <c r="AI113" s="5" t="s">
        <v>16</v>
      </c>
      <c r="AJ113" s="5" t="s">
        <v>4194</v>
      </c>
      <c r="AK113" s="21" t="s">
        <v>2</v>
      </c>
      <c r="AL113" s="72" t="s">
        <v>3894</v>
      </c>
      <c r="AM113" s="54" t="s">
        <v>4179</v>
      </c>
      <c r="AN113" s="34" t="s">
        <v>512</v>
      </c>
    </row>
    <row r="114" spans="2:40" x14ac:dyDescent="0.3">
      <c r="B114" s="18" t="s">
        <v>809</v>
      </c>
      <c r="C114" s="47" t="s">
        <v>17</v>
      </c>
      <c r="D114" s="15" t="s">
        <v>1415</v>
      </c>
      <c r="E114" s="68" t="s">
        <v>2</v>
      </c>
      <c r="F114" s="55" t="s">
        <v>2</v>
      </c>
      <c r="G114" s="40" t="s">
        <v>2745</v>
      </c>
      <c r="H114" s="71" t="s">
        <v>2745</v>
      </c>
      <c r="I114" s="67" t="s">
        <v>3660</v>
      </c>
      <c r="J114" s="73" t="s">
        <v>270</v>
      </c>
      <c r="K114" s="4">
        <v>5937465</v>
      </c>
      <c r="L114" s="41">
        <v>79.698999999999998</v>
      </c>
      <c r="M114" s="4">
        <v>4722166</v>
      </c>
      <c r="N114" s="4">
        <v>5925000</v>
      </c>
      <c r="O114" s="4">
        <v>5935782</v>
      </c>
      <c r="P114" s="4">
        <v>0</v>
      </c>
      <c r="Q114" s="4">
        <v>-1091</v>
      </c>
      <c r="R114" s="4">
        <v>0</v>
      </c>
      <c r="S114" s="4">
        <v>0</v>
      </c>
      <c r="T114" s="23">
        <v>2.1219999999999999</v>
      </c>
      <c r="U114" s="23">
        <v>2.0990000000000002</v>
      </c>
      <c r="V114" s="5" t="s">
        <v>3898</v>
      </c>
      <c r="W114" s="4">
        <v>10477</v>
      </c>
      <c r="X114" s="4">
        <v>125729</v>
      </c>
      <c r="Y114" s="14">
        <v>44354</v>
      </c>
      <c r="Z114" s="14">
        <v>48183</v>
      </c>
      <c r="AA114" s="70" t="s">
        <v>3661</v>
      </c>
      <c r="AB114" s="69" t="s">
        <v>3892</v>
      </c>
      <c r="AC114" s="5" t="s">
        <v>7</v>
      </c>
      <c r="AD114" s="2"/>
      <c r="AE114" s="6"/>
      <c r="AF114" s="23"/>
      <c r="AG114" s="6"/>
      <c r="AH114" s="5" t="s">
        <v>2</v>
      </c>
      <c r="AI114" s="5" t="s">
        <v>4195</v>
      </c>
      <c r="AJ114" s="5" t="s">
        <v>1169</v>
      </c>
      <c r="AK114" s="21" t="s">
        <v>2</v>
      </c>
      <c r="AL114" s="72" t="s">
        <v>3894</v>
      </c>
      <c r="AM114" s="54" t="s">
        <v>4179</v>
      </c>
      <c r="AN114" s="34" t="s">
        <v>1170</v>
      </c>
    </row>
    <row r="115" spans="2:40" x14ac:dyDescent="0.3">
      <c r="B115" s="18" t="s">
        <v>1927</v>
      </c>
      <c r="C115" s="47" t="s">
        <v>1928</v>
      </c>
      <c r="D115" s="15" t="s">
        <v>1415</v>
      </c>
      <c r="E115" s="68" t="s">
        <v>2</v>
      </c>
      <c r="F115" s="55" t="s">
        <v>2</v>
      </c>
      <c r="G115" s="40" t="s">
        <v>2745</v>
      </c>
      <c r="H115" s="71" t="s">
        <v>2745</v>
      </c>
      <c r="I115" s="67" t="s">
        <v>3660</v>
      </c>
      <c r="J115" s="73" t="s">
        <v>270</v>
      </c>
      <c r="K115" s="4">
        <v>9000705</v>
      </c>
      <c r="L115" s="41">
        <v>78.393000000000001</v>
      </c>
      <c r="M115" s="4">
        <v>7035772</v>
      </c>
      <c r="N115" s="4">
        <v>8975000</v>
      </c>
      <c r="O115" s="4">
        <v>8997250</v>
      </c>
      <c r="P115" s="4">
        <v>0</v>
      </c>
      <c r="Q115" s="4">
        <v>-2239</v>
      </c>
      <c r="R115" s="4">
        <v>0</v>
      </c>
      <c r="S115" s="4">
        <v>0</v>
      </c>
      <c r="T115" s="23">
        <v>2.222</v>
      </c>
      <c r="U115" s="23">
        <v>2.1909999999999998</v>
      </c>
      <c r="V115" s="5" t="s">
        <v>3898</v>
      </c>
      <c r="W115" s="4">
        <v>16619</v>
      </c>
      <c r="X115" s="4">
        <v>199425</v>
      </c>
      <c r="Y115" s="14">
        <v>44354</v>
      </c>
      <c r="Z115" s="14">
        <v>48549</v>
      </c>
      <c r="AA115" s="70" t="s">
        <v>3661</v>
      </c>
      <c r="AB115" s="69" t="s">
        <v>3892</v>
      </c>
      <c r="AC115" s="5" t="s">
        <v>7</v>
      </c>
      <c r="AD115" s="2"/>
      <c r="AE115" s="9">
        <v>48183</v>
      </c>
      <c r="AF115" s="23">
        <v>100</v>
      </c>
      <c r="AG115" s="9">
        <v>48183</v>
      </c>
      <c r="AH115" s="5" t="s">
        <v>2</v>
      </c>
      <c r="AI115" s="5" t="s">
        <v>4195</v>
      </c>
      <c r="AJ115" s="5" t="s">
        <v>1169</v>
      </c>
      <c r="AK115" s="21" t="s">
        <v>2</v>
      </c>
      <c r="AL115" s="72" t="s">
        <v>3894</v>
      </c>
      <c r="AM115" s="54" t="s">
        <v>4179</v>
      </c>
      <c r="AN115" s="34" t="s">
        <v>1170</v>
      </c>
    </row>
    <row r="116" spans="2:40" x14ac:dyDescent="0.3">
      <c r="B116" s="18" t="s">
        <v>3419</v>
      </c>
      <c r="C116" s="47" t="s">
        <v>1416</v>
      </c>
      <c r="D116" s="15" t="s">
        <v>3662</v>
      </c>
      <c r="E116" s="68" t="s">
        <v>2</v>
      </c>
      <c r="F116" s="55" t="s">
        <v>2</v>
      </c>
      <c r="G116" s="40" t="s">
        <v>2745</v>
      </c>
      <c r="H116" s="71" t="s">
        <v>2745</v>
      </c>
      <c r="I116" s="67" t="s">
        <v>3660</v>
      </c>
      <c r="J116" s="73" t="s">
        <v>270</v>
      </c>
      <c r="K116" s="4">
        <v>8333583</v>
      </c>
      <c r="L116" s="41">
        <v>80.727999999999994</v>
      </c>
      <c r="M116" s="4">
        <v>6728679</v>
      </c>
      <c r="N116" s="4">
        <v>8335000</v>
      </c>
      <c r="O116" s="4">
        <v>8333866</v>
      </c>
      <c r="P116" s="4">
        <v>0</v>
      </c>
      <c r="Q116" s="4">
        <v>139</v>
      </c>
      <c r="R116" s="4">
        <v>0</v>
      </c>
      <c r="S116" s="4">
        <v>0</v>
      </c>
      <c r="T116" s="23">
        <v>2.1840000000000002</v>
      </c>
      <c r="U116" s="23">
        <v>2.1859999999999999</v>
      </c>
      <c r="V116" s="5" t="s">
        <v>3898</v>
      </c>
      <c r="W116" s="4">
        <v>15170</v>
      </c>
      <c r="X116" s="4">
        <v>182036</v>
      </c>
      <c r="Y116" s="14">
        <v>44328</v>
      </c>
      <c r="Z116" s="14">
        <v>47635</v>
      </c>
      <c r="AA116" s="70" t="s">
        <v>3064</v>
      </c>
      <c r="AB116" s="69" t="s">
        <v>3892</v>
      </c>
      <c r="AC116" s="5" t="s">
        <v>7</v>
      </c>
      <c r="AD116" s="2"/>
      <c r="AE116" s="6"/>
      <c r="AF116" s="23"/>
      <c r="AG116" s="6"/>
      <c r="AH116" s="5" t="s">
        <v>3065</v>
      </c>
      <c r="AI116" s="5" t="s">
        <v>2544</v>
      </c>
      <c r="AJ116" s="5" t="s">
        <v>513</v>
      </c>
      <c r="AK116" s="21" t="s">
        <v>2</v>
      </c>
      <c r="AL116" s="72" t="s">
        <v>3894</v>
      </c>
      <c r="AM116" s="54" t="s">
        <v>4179</v>
      </c>
      <c r="AN116" s="34" t="s">
        <v>1170</v>
      </c>
    </row>
    <row r="117" spans="2:40" x14ac:dyDescent="0.3">
      <c r="B117" s="18" t="s">
        <v>18</v>
      </c>
      <c r="C117" s="47" t="s">
        <v>1635</v>
      </c>
      <c r="D117" s="15" t="s">
        <v>2280</v>
      </c>
      <c r="E117" s="68" t="s">
        <v>2</v>
      </c>
      <c r="F117" s="55" t="s">
        <v>2</v>
      </c>
      <c r="G117" s="40" t="s">
        <v>2745</v>
      </c>
      <c r="H117" s="71" t="s">
        <v>2745</v>
      </c>
      <c r="I117" s="67" t="s">
        <v>8</v>
      </c>
      <c r="J117" s="73" t="s">
        <v>270</v>
      </c>
      <c r="K117" s="4">
        <v>5000000</v>
      </c>
      <c r="L117" s="41">
        <v>92.158000000000001</v>
      </c>
      <c r="M117" s="4">
        <v>4607900</v>
      </c>
      <c r="N117" s="4">
        <v>5000000</v>
      </c>
      <c r="O117" s="4">
        <v>5000000</v>
      </c>
      <c r="P117" s="4">
        <v>0</v>
      </c>
      <c r="Q117" s="4">
        <v>0</v>
      </c>
      <c r="R117" s="4">
        <v>0</v>
      </c>
      <c r="S117" s="4">
        <v>0</v>
      </c>
      <c r="T117" s="23">
        <v>2.1739999999999999</v>
      </c>
      <c r="U117" s="23">
        <v>2.1739999999999999</v>
      </c>
      <c r="V117" s="5" t="s">
        <v>1916</v>
      </c>
      <c r="W117" s="4">
        <v>54350</v>
      </c>
      <c r="X117" s="4">
        <v>108700</v>
      </c>
      <c r="Y117" s="14">
        <v>43840</v>
      </c>
      <c r="Z117" s="14">
        <v>46204</v>
      </c>
      <c r="AA117" s="70" t="s">
        <v>3064</v>
      </c>
      <c r="AB117" s="69" t="s">
        <v>3892</v>
      </c>
      <c r="AC117" s="5" t="s">
        <v>7</v>
      </c>
      <c r="AD117" s="2"/>
      <c r="AE117" s="6"/>
      <c r="AF117" s="23"/>
      <c r="AG117" s="6"/>
      <c r="AH117" s="5" t="s">
        <v>2</v>
      </c>
      <c r="AI117" s="5" t="s">
        <v>2280</v>
      </c>
      <c r="AJ117" s="5" t="s">
        <v>2</v>
      </c>
      <c r="AK117" s="21" t="s">
        <v>2</v>
      </c>
      <c r="AL117" s="72" t="s">
        <v>3894</v>
      </c>
      <c r="AM117" s="54" t="s">
        <v>4179</v>
      </c>
      <c r="AN117" s="34" t="s">
        <v>1923</v>
      </c>
    </row>
    <row r="118" spans="2:40" x14ac:dyDescent="0.3">
      <c r="B118" s="18" t="s">
        <v>1929</v>
      </c>
      <c r="C118" s="47" t="s">
        <v>4196</v>
      </c>
      <c r="D118" s="15" t="s">
        <v>2280</v>
      </c>
      <c r="E118" s="68" t="s">
        <v>2</v>
      </c>
      <c r="F118" s="55" t="s">
        <v>2</v>
      </c>
      <c r="G118" s="40" t="s">
        <v>2745</v>
      </c>
      <c r="H118" s="71" t="s">
        <v>2745</v>
      </c>
      <c r="I118" s="67" t="s">
        <v>8</v>
      </c>
      <c r="J118" s="73" t="s">
        <v>270</v>
      </c>
      <c r="K118" s="4">
        <v>3000000</v>
      </c>
      <c r="L118" s="41">
        <v>89.957999999999998</v>
      </c>
      <c r="M118" s="4">
        <v>2698740</v>
      </c>
      <c r="N118" s="4">
        <v>3000000</v>
      </c>
      <c r="O118" s="4">
        <v>3000000</v>
      </c>
      <c r="P118" s="4">
        <v>0</v>
      </c>
      <c r="Q118" s="4">
        <v>0</v>
      </c>
      <c r="R118" s="4">
        <v>0</v>
      </c>
      <c r="S118" s="4">
        <v>0</v>
      </c>
      <c r="T118" s="23">
        <v>2.2240000000000002</v>
      </c>
      <c r="U118" s="23">
        <v>2.2240000000000002</v>
      </c>
      <c r="V118" s="5" t="s">
        <v>1916</v>
      </c>
      <c r="W118" s="4">
        <v>33360</v>
      </c>
      <c r="X118" s="4">
        <v>66720</v>
      </c>
      <c r="Y118" s="14">
        <v>43840</v>
      </c>
      <c r="Z118" s="14">
        <v>46569</v>
      </c>
      <c r="AA118" s="70" t="s">
        <v>3064</v>
      </c>
      <c r="AB118" s="69" t="s">
        <v>3892</v>
      </c>
      <c r="AC118" s="5" t="s">
        <v>7</v>
      </c>
      <c r="AD118" s="2"/>
      <c r="AE118" s="6"/>
      <c r="AF118" s="23"/>
      <c r="AG118" s="6"/>
      <c r="AH118" s="5" t="s">
        <v>2</v>
      </c>
      <c r="AI118" s="5" t="s">
        <v>2280</v>
      </c>
      <c r="AJ118" s="5" t="s">
        <v>2</v>
      </c>
      <c r="AK118" s="21" t="s">
        <v>2</v>
      </c>
      <c r="AL118" s="72" t="s">
        <v>3894</v>
      </c>
      <c r="AM118" s="54" t="s">
        <v>4179</v>
      </c>
      <c r="AN118" s="34" t="s">
        <v>1923</v>
      </c>
    </row>
    <row r="119" spans="2:40" x14ac:dyDescent="0.3">
      <c r="B119" s="18" t="s">
        <v>3066</v>
      </c>
      <c r="C119" s="47" t="s">
        <v>3904</v>
      </c>
      <c r="D119" s="15" t="s">
        <v>2280</v>
      </c>
      <c r="E119" s="68" t="s">
        <v>2</v>
      </c>
      <c r="F119" s="55" t="s">
        <v>2</v>
      </c>
      <c r="G119" s="40" t="s">
        <v>2745</v>
      </c>
      <c r="H119" s="71" t="s">
        <v>2745</v>
      </c>
      <c r="I119" s="67" t="s">
        <v>8</v>
      </c>
      <c r="J119" s="73" t="s">
        <v>270</v>
      </c>
      <c r="K119" s="4">
        <v>5000000</v>
      </c>
      <c r="L119" s="41">
        <v>88.274000000000001</v>
      </c>
      <c r="M119" s="4">
        <v>4413700</v>
      </c>
      <c r="N119" s="4">
        <v>5000000</v>
      </c>
      <c r="O119" s="4">
        <v>5000000</v>
      </c>
      <c r="P119" s="4">
        <v>0</v>
      </c>
      <c r="Q119" s="4">
        <v>0</v>
      </c>
      <c r="R119" s="4">
        <v>0</v>
      </c>
      <c r="S119" s="4">
        <v>0</v>
      </c>
      <c r="T119" s="23">
        <v>2.3620000000000001</v>
      </c>
      <c r="U119" s="23">
        <v>2.3620000000000001</v>
      </c>
      <c r="V119" s="5" t="s">
        <v>1916</v>
      </c>
      <c r="W119" s="4">
        <v>59050</v>
      </c>
      <c r="X119" s="4">
        <v>118100</v>
      </c>
      <c r="Y119" s="14">
        <v>43840</v>
      </c>
      <c r="Z119" s="14">
        <v>46935</v>
      </c>
      <c r="AA119" s="70" t="s">
        <v>3064</v>
      </c>
      <c r="AB119" s="69" t="s">
        <v>3892</v>
      </c>
      <c r="AC119" s="5" t="s">
        <v>7</v>
      </c>
      <c r="AD119" s="2"/>
      <c r="AE119" s="6"/>
      <c r="AF119" s="23"/>
      <c r="AG119" s="6"/>
      <c r="AH119" s="5" t="s">
        <v>2</v>
      </c>
      <c r="AI119" s="5" t="s">
        <v>2280</v>
      </c>
      <c r="AJ119" s="5" t="s">
        <v>2</v>
      </c>
      <c r="AK119" s="21" t="s">
        <v>2</v>
      </c>
      <c r="AL119" s="72" t="s">
        <v>3894</v>
      </c>
      <c r="AM119" s="54" t="s">
        <v>4179</v>
      </c>
      <c r="AN119" s="34" t="s">
        <v>1923</v>
      </c>
    </row>
    <row r="120" spans="2:40" x14ac:dyDescent="0.3">
      <c r="B120" s="18" t="s">
        <v>4197</v>
      </c>
      <c r="C120" s="47" t="s">
        <v>1171</v>
      </c>
      <c r="D120" s="15" t="s">
        <v>278</v>
      </c>
      <c r="E120" s="68" t="s">
        <v>2</v>
      </c>
      <c r="F120" s="55" t="s">
        <v>2</v>
      </c>
      <c r="G120" s="40" t="s">
        <v>2745</v>
      </c>
      <c r="H120" s="71" t="s">
        <v>2745</v>
      </c>
      <c r="I120" s="67" t="s">
        <v>2274</v>
      </c>
      <c r="J120" s="73" t="s">
        <v>270</v>
      </c>
      <c r="K120" s="4">
        <v>1250000</v>
      </c>
      <c r="L120" s="41">
        <v>88.328999999999994</v>
      </c>
      <c r="M120" s="4">
        <v>1104113</v>
      </c>
      <c r="N120" s="4">
        <v>1250000</v>
      </c>
      <c r="O120" s="4">
        <v>1250000</v>
      </c>
      <c r="P120" s="4">
        <v>0</v>
      </c>
      <c r="Q120" s="4">
        <v>0</v>
      </c>
      <c r="R120" s="4">
        <v>0</v>
      </c>
      <c r="S120" s="4">
        <v>0</v>
      </c>
      <c r="T120" s="23">
        <v>1.1970000000000001</v>
      </c>
      <c r="U120" s="23">
        <v>1.1970000000000001</v>
      </c>
      <c r="V120" s="5" t="s">
        <v>3898</v>
      </c>
      <c r="W120" s="4">
        <v>1247</v>
      </c>
      <c r="X120" s="4">
        <v>14963</v>
      </c>
      <c r="Y120" s="14">
        <v>44035</v>
      </c>
      <c r="Z120" s="14">
        <v>46174</v>
      </c>
      <c r="AA120" s="70" t="s">
        <v>277</v>
      </c>
      <c r="AB120" s="69" t="s">
        <v>3892</v>
      </c>
      <c r="AC120" s="5" t="s">
        <v>7</v>
      </c>
      <c r="AD120" s="2"/>
      <c r="AE120" s="6"/>
      <c r="AF120" s="23"/>
      <c r="AG120" s="6"/>
      <c r="AH120" s="5" t="s">
        <v>2</v>
      </c>
      <c r="AI120" s="5" t="s">
        <v>2755</v>
      </c>
      <c r="AJ120" s="5" t="s">
        <v>3905</v>
      </c>
      <c r="AK120" s="21" t="s">
        <v>2</v>
      </c>
      <c r="AL120" s="72" t="s">
        <v>3894</v>
      </c>
      <c r="AM120" s="54" t="s">
        <v>4179</v>
      </c>
      <c r="AN120" s="34" t="s">
        <v>1408</v>
      </c>
    </row>
    <row r="121" spans="2:40" x14ac:dyDescent="0.3">
      <c r="B121" s="18" t="s">
        <v>810</v>
      </c>
      <c r="C121" s="47" t="s">
        <v>4198</v>
      </c>
      <c r="D121" s="15" t="s">
        <v>278</v>
      </c>
      <c r="E121" s="68" t="s">
        <v>2</v>
      </c>
      <c r="F121" s="55" t="s">
        <v>2</v>
      </c>
      <c r="G121" s="40" t="s">
        <v>2745</v>
      </c>
      <c r="H121" s="71" t="s">
        <v>2745</v>
      </c>
      <c r="I121" s="67" t="s">
        <v>2274</v>
      </c>
      <c r="J121" s="73" t="s">
        <v>270</v>
      </c>
      <c r="K121" s="4">
        <v>1250000</v>
      </c>
      <c r="L121" s="41">
        <v>85.475999999999999</v>
      </c>
      <c r="M121" s="4">
        <v>1068450</v>
      </c>
      <c r="N121" s="4">
        <v>1250000</v>
      </c>
      <c r="O121" s="4">
        <v>1250000</v>
      </c>
      <c r="P121" s="4">
        <v>0</v>
      </c>
      <c r="Q121" s="4">
        <v>0</v>
      </c>
      <c r="R121" s="4">
        <v>0</v>
      </c>
      <c r="S121" s="4">
        <v>0</v>
      </c>
      <c r="T121" s="23">
        <v>1.2969999999999999</v>
      </c>
      <c r="U121" s="23">
        <v>1.2969999999999999</v>
      </c>
      <c r="V121" s="5" t="s">
        <v>3898</v>
      </c>
      <c r="W121" s="4">
        <v>1351</v>
      </c>
      <c r="X121" s="4">
        <v>16213</v>
      </c>
      <c r="Y121" s="14">
        <v>44035</v>
      </c>
      <c r="Z121" s="14">
        <v>46539</v>
      </c>
      <c r="AA121" s="70" t="s">
        <v>277</v>
      </c>
      <c r="AB121" s="69" t="s">
        <v>3892</v>
      </c>
      <c r="AC121" s="5" t="s">
        <v>7</v>
      </c>
      <c r="AD121" s="2"/>
      <c r="AE121" s="6"/>
      <c r="AF121" s="23"/>
      <c r="AG121" s="6"/>
      <c r="AH121" s="5" t="s">
        <v>2</v>
      </c>
      <c r="AI121" s="5" t="s">
        <v>2755</v>
      </c>
      <c r="AJ121" s="5" t="s">
        <v>3905</v>
      </c>
      <c r="AK121" s="21" t="s">
        <v>2</v>
      </c>
      <c r="AL121" s="72" t="s">
        <v>3894</v>
      </c>
      <c r="AM121" s="54" t="s">
        <v>4179</v>
      </c>
      <c r="AN121" s="34" t="s">
        <v>1408</v>
      </c>
    </row>
    <row r="122" spans="2:40" x14ac:dyDescent="0.3">
      <c r="B122" s="18" t="s">
        <v>1930</v>
      </c>
      <c r="C122" s="47" t="s">
        <v>3663</v>
      </c>
      <c r="D122" s="15" t="s">
        <v>278</v>
      </c>
      <c r="E122" s="68" t="s">
        <v>2</v>
      </c>
      <c r="F122" s="55" t="s">
        <v>2</v>
      </c>
      <c r="G122" s="40" t="s">
        <v>2745</v>
      </c>
      <c r="H122" s="71" t="s">
        <v>2745</v>
      </c>
      <c r="I122" s="67" t="s">
        <v>2274</v>
      </c>
      <c r="J122" s="73" t="s">
        <v>270</v>
      </c>
      <c r="K122" s="4">
        <v>750000</v>
      </c>
      <c r="L122" s="41">
        <v>83.376000000000005</v>
      </c>
      <c r="M122" s="4">
        <v>625320</v>
      </c>
      <c r="N122" s="4">
        <v>750000</v>
      </c>
      <c r="O122" s="4">
        <v>750000</v>
      </c>
      <c r="P122" s="4">
        <v>0</v>
      </c>
      <c r="Q122" s="4">
        <v>0</v>
      </c>
      <c r="R122" s="4">
        <v>0</v>
      </c>
      <c r="S122" s="4">
        <v>0</v>
      </c>
      <c r="T122" s="23">
        <v>1.4950000000000001</v>
      </c>
      <c r="U122" s="23">
        <v>1.4950000000000001</v>
      </c>
      <c r="V122" s="5" t="s">
        <v>3898</v>
      </c>
      <c r="W122" s="4">
        <v>934</v>
      </c>
      <c r="X122" s="4">
        <v>11213</v>
      </c>
      <c r="Y122" s="14">
        <v>44035</v>
      </c>
      <c r="Z122" s="14">
        <v>46905</v>
      </c>
      <c r="AA122" s="70" t="s">
        <v>277</v>
      </c>
      <c r="AB122" s="69" t="s">
        <v>3892</v>
      </c>
      <c r="AC122" s="5" t="s">
        <v>7</v>
      </c>
      <c r="AD122" s="2"/>
      <c r="AE122" s="10"/>
      <c r="AF122" s="23"/>
      <c r="AG122" s="6"/>
      <c r="AH122" s="5" t="s">
        <v>2</v>
      </c>
      <c r="AI122" s="5" t="s">
        <v>2755</v>
      </c>
      <c r="AJ122" s="5" t="s">
        <v>3905</v>
      </c>
      <c r="AK122" s="21" t="s">
        <v>2</v>
      </c>
      <c r="AL122" s="72" t="s">
        <v>3894</v>
      </c>
      <c r="AM122" s="54" t="s">
        <v>4179</v>
      </c>
      <c r="AN122" s="34" t="s">
        <v>1408</v>
      </c>
    </row>
    <row r="123" spans="2:40" x14ac:dyDescent="0.3">
      <c r="B123" s="18" t="s">
        <v>3067</v>
      </c>
      <c r="C123" s="47" t="s">
        <v>1636</v>
      </c>
      <c r="D123" s="15" t="s">
        <v>278</v>
      </c>
      <c r="E123" s="68" t="s">
        <v>2</v>
      </c>
      <c r="F123" s="55" t="s">
        <v>2</v>
      </c>
      <c r="G123" s="40" t="s">
        <v>2745</v>
      </c>
      <c r="H123" s="71" t="s">
        <v>2745</v>
      </c>
      <c r="I123" s="67" t="s">
        <v>2274</v>
      </c>
      <c r="J123" s="73" t="s">
        <v>270</v>
      </c>
      <c r="K123" s="4">
        <v>1145000</v>
      </c>
      <c r="L123" s="41">
        <v>81.061000000000007</v>
      </c>
      <c r="M123" s="4">
        <v>928148</v>
      </c>
      <c r="N123" s="4">
        <v>1145000</v>
      </c>
      <c r="O123" s="4">
        <v>1145000</v>
      </c>
      <c r="P123" s="4">
        <v>0</v>
      </c>
      <c r="Q123" s="4">
        <v>0</v>
      </c>
      <c r="R123" s="4">
        <v>0</v>
      </c>
      <c r="S123" s="4">
        <v>0</v>
      </c>
      <c r="T123" s="23">
        <v>1.595</v>
      </c>
      <c r="U123" s="23">
        <v>1.595</v>
      </c>
      <c r="V123" s="5" t="s">
        <v>3898</v>
      </c>
      <c r="W123" s="4">
        <v>1522</v>
      </c>
      <c r="X123" s="4">
        <v>18263</v>
      </c>
      <c r="Y123" s="14">
        <v>44035</v>
      </c>
      <c r="Z123" s="14">
        <v>47270</v>
      </c>
      <c r="AA123" s="70" t="s">
        <v>277</v>
      </c>
      <c r="AB123" s="69" t="s">
        <v>3892</v>
      </c>
      <c r="AC123" s="5" t="s">
        <v>7</v>
      </c>
      <c r="AD123" s="2"/>
      <c r="AE123" s="10"/>
      <c r="AF123" s="23"/>
      <c r="AG123" s="6"/>
      <c r="AH123" s="5" t="s">
        <v>2</v>
      </c>
      <c r="AI123" s="5" t="s">
        <v>2755</v>
      </c>
      <c r="AJ123" s="5" t="s">
        <v>3905</v>
      </c>
      <c r="AK123" s="21" t="s">
        <v>2</v>
      </c>
      <c r="AL123" s="72" t="s">
        <v>3894</v>
      </c>
      <c r="AM123" s="54" t="s">
        <v>4179</v>
      </c>
      <c r="AN123" s="34" t="s">
        <v>1408</v>
      </c>
    </row>
    <row r="124" spans="2:40" x14ac:dyDescent="0.3">
      <c r="B124" s="18" t="s">
        <v>4199</v>
      </c>
      <c r="C124" s="47" t="s">
        <v>1637</v>
      </c>
      <c r="D124" s="15" t="s">
        <v>278</v>
      </c>
      <c r="E124" s="68" t="s">
        <v>2</v>
      </c>
      <c r="F124" s="55" t="s">
        <v>2</v>
      </c>
      <c r="G124" s="40" t="s">
        <v>2745</v>
      </c>
      <c r="H124" s="71" t="s">
        <v>2745</v>
      </c>
      <c r="I124" s="67" t="s">
        <v>2274</v>
      </c>
      <c r="J124" s="73" t="s">
        <v>270</v>
      </c>
      <c r="K124" s="4">
        <v>1000000</v>
      </c>
      <c r="L124" s="41">
        <v>78.944000000000003</v>
      </c>
      <c r="M124" s="4">
        <v>789440</v>
      </c>
      <c r="N124" s="4">
        <v>1000000</v>
      </c>
      <c r="O124" s="4">
        <v>1000000</v>
      </c>
      <c r="P124" s="4">
        <v>0</v>
      </c>
      <c r="Q124" s="4">
        <v>0</v>
      </c>
      <c r="R124" s="4">
        <v>0</v>
      </c>
      <c r="S124" s="4">
        <v>0</v>
      </c>
      <c r="T124" s="23">
        <v>1.6950000000000001</v>
      </c>
      <c r="U124" s="23">
        <v>1.6950000000000001</v>
      </c>
      <c r="V124" s="5" t="s">
        <v>3898</v>
      </c>
      <c r="W124" s="4">
        <v>1413</v>
      </c>
      <c r="X124" s="4">
        <v>16950</v>
      </c>
      <c r="Y124" s="14">
        <v>44035</v>
      </c>
      <c r="Z124" s="14">
        <v>47635</v>
      </c>
      <c r="AA124" s="70" t="s">
        <v>277</v>
      </c>
      <c r="AB124" s="69" t="s">
        <v>3892</v>
      </c>
      <c r="AC124" s="5" t="s">
        <v>7</v>
      </c>
      <c r="AD124" s="2"/>
      <c r="AE124" s="10"/>
      <c r="AF124" s="23"/>
      <c r="AG124" s="6"/>
      <c r="AH124" s="5" t="s">
        <v>2</v>
      </c>
      <c r="AI124" s="5" t="s">
        <v>2755</v>
      </c>
      <c r="AJ124" s="5" t="s">
        <v>3905</v>
      </c>
      <c r="AK124" s="21" t="s">
        <v>2</v>
      </c>
      <c r="AL124" s="72" t="s">
        <v>3894</v>
      </c>
      <c r="AM124" s="54" t="s">
        <v>4179</v>
      </c>
      <c r="AN124" s="34" t="s">
        <v>1408</v>
      </c>
    </row>
    <row r="125" spans="2:40" x14ac:dyDescent="0.3">
      <c r="B125" s="18" t="s">
        <v>1172</v>
      </c>
      <c r="C125" s="47" t="s">
        <v>1417</v>
      </c>
      <c r="D125" s="15" t="s">
        <v>278</v>
      </c>
      <c r="E125" s="68" t="s">
        <v>2</v>
      </c>
      <c r="F125" s="55" t="s">
        <v>2</v>
      </c>
      <c r="G125" s="40" t="s">
        <v>2745</v>
      </c>
      <c r="H125" s="71" t="s">
        <v>2745</v>
      </c>
      <c r="I125" s="67" t="s">
        <v>2274</v>
      </c>
      <c r="J125" s="73" t="s">
        <v>270</v>
      </c>
      <c r="K125" s="4">
        <v>1000000</v>
      </c>
      <c r="L125" s="41">
        <v>77.48</v>
      </c>
      <c r="M125" s="4">
        <v>774800</v>
      </c>
      <c r="N125" s="4">
        <v>1000000</v>
      </c>
      <c r="O125" s="4">
        <v>1000000</v>
      </c>
      <c r="P125" s="4">
        <v>0</v>
      </c>
      <c r="Q125" s="4">
        <v>0</v>
      </c>
      <c r="R125" s="4">
        <v>0</v>
      </c>
      <c r="S125" s="4">
        <v>0</v>
      </c>
      <c r="T125" s="23">
        <v>1.845</v>
      </c>
      <c r="U125" s="23">
        <v>1.845</v>
      </c>
      <c r="V125" s="5" t="s">
        <v>3898</v>
      </c>
      <c r="W125" s="4">
        <v>1538</v>
      </c>
      <c r="X125" s="4">
        <v>18450</v>
      </c>
      <c r="Y125" s="14">
        <v>44035</v>
      </c>
      <c r="Z125" s="14">
        <v>48000</v>
      </c>
      <c r="AA125" s="70" t="s">
        <v>277</v>
      </c>
      <c r="AB125" s="69" t="s">
        <v>3892</v>
      </c>
      <c r="AC125" s="5" t="s">
        <v>7</v>
      </c>
      <c r="AD125" s="2"/>
      <c r="AE125" s="9">
        <v>47635</v>
      </c>
      <c r="AF125" s="23">
        <v>100</v>
      </c>
      <c r="AG125" s="6"/>
      <c r="AH125" s="5" t="s">
        <v>2</v>
      </c>
      <c r="AI125" s="5" t="s">
        <v>2755</v>
      </c>
      <c r="AJ125" s="5" t="s">
        <v>3905</v>
      </c>
      <c r="AK125" s="21" t="s">
        <v>2</v>
      </c>
      <c r="AL125" s="72" t="s">
        <v>3894</v>
      </c>
      <c r="AM125" s="54" t="s">
        <v>4179</v>
      </c>
      <c r="AN125" s="34" t="s">
        <v>1408</v>
      </c>
    </row>
    <row r="126" spans="2:40" x14ac:dyDescent="0.3">
      <c r="B126" s="18" t="s">
        <v>2281</v>
      </c>
      <c r="C126" s="47" t="s">
        <v>279</v>
      </c>
      <c r="D126" s="15" t="s">
        <v>1931</v>
      </c>
      <c r="E126" s="68" t="s">
        <v>2</v>
      </c>
      <c r="F126" s="55" t="s">
        <v>2</v>
      </c>
      <c r="G126" s="40" t="s">
        <v>2745</v>
      </c>
      <c r="H126" s="71" t="s">
        <v>2745</v>
      </c>
      <c r="I126" s="67" t="s">
        <v>1164</v>
      </c>
      <c r="J126" s="73" t="s">
        <v>270</v>
      </c>
      <c r="K126" s="4">
        <v>7389450</v>
      </c>
      <c r="L126" s="41">
        <v>83.923000000000002</v>
      </c>
      <c r="M126" s="4">
        <v>6294225</v>
      </c>
      <c r="N126" s="4">
        <v>7500000</v>
      </c>
      <c r="O126" s="4">
        <v>7412473</v>
      </c>
      <c r="P126" s="4">
        <v>0</v>
      </c>
      <c r="Q126" s="4">
        <v>12990</v>
      </c>
      <c r="R126" s="4">
        <v>0</v>
      </c>
      <c r="S126" s="4">
        <v>0</v>
      </c>
      <c r="T126" s="23">
        <v>1.869</v>
      </c>
      <c r="U126" s="23">
        <v>2.069</v>
      </c>
      <c r="V126" s="5" t="s">
        <v>3895</v>
      </c>
      <c r="W126" s="4">
        <v>35044</v>
      </c>
      <c r="X126" s="4">
        <v>140175</v>
      </c>
      <c r="Y126" s="14">
        <v>44272</v>
      </c>
      <c r="Z126" s="14">
        <v>47209</v>
      </c>
      <c r="AA126" s="70" t="s">
        <v>3654</v>
      </c>
      <c r="AB126" s="69" t="s">
        <v>3892</v>
      </c>
      <c r="AC126" s="5" t="s">
        <v>7</v>
      </c>
      <c r="AD126" s="2"/>
      <c r="AE126" s="6"/>
      <c r="AF126" s="23"/>
      <c r="AG126" s="6"/>
      <c r="AH126" s="5" t="s">
        <v>2282</v>
      </c>
      <c r="AI126" s="5" t="s">
        <v>514</v>
      </c>
      <c r="AJ126" s="5" t="s">
        <v>280</v>
      </c>
      <c r="AK126" s="21" t="s">
        <v>2</v>
      </c>
      <c r="AL126" s="72" t="s">
        <v>3894</v>
      </c>
      <c r="AM126" s="54" t="s">
        <v>4179</v>
      </c>
      <c r="AN126" s="34" t="s">
        <v>1625</v>
      </c>
    </row>
    <row r="127" spans="2:40" x14ac:dyDescent="0.3">
      <c r="B127" s="18" t="s">
        <v>3420</v>
      </c>
      <c r="C127" s="47" t="s">
        <v>281</v>
      </c>
      <c r="D127" s="15" t="s">
        <v>1931</v>
      </c>
      <c r="E127" s="68" t="s">
        <v>2</v>
      </c>
      <c r="F127" s="55" t="s">
        <v>2</v>
      </c>
      <c r="G127" s="40" t="s">
        <v>2745</v>
      </c>
      <c r="H127" s="71" t="s">
        <v>2745</v>
      </c>
      <c r="I127" s="67" t="s">
        <v>1164</v>
      </c>
      <c r="J127" s="73" t="s">
        <v>270</v>
      </c>
      <c r="K127" s="4">
        <v>2500000</v>
      </c>
      <c r="L127" s="41">
        <v>80.557000000000002</v>
      </c>
      <c r="M127" s="4">
        <v>2013925</v>
      </c>
      <c r="N127" s="4">
        <v>2500000</v>
      </c>
      <c r="O127" s="4">
        <v>2500000</v>
      </c>
      <c r="P127" s="4">
        <v>0</v>
      </c>
      <c r="Q127" s="4">
        <v>0</v>
      </c>
      <c r="R127" s="4">
        <v>0</v>
      </c>
      <c r="S127" s="4">
        <v>0</v>
      </c>
      <c r="T127" s="23">
        <v>2.069</v>
      </c>
      <c r="U127" s="23">
        <v>2.069</v>
      </c>
      <c r="V127" s="5" t="s">
        <v>3895</v>
      </c>
      <c r="W127" s="4">
        <v>12931</v>
      </c>
      <c r="X127" s="4">
        <v>51725</v>
      </c>
      <c r="Y127" s="14">
        <v>44258</v>
      </c>
      <c r="Z127" s="14">
        <v>47939</v>
      </c>
      <c r="AA127" s="70" t="s">
        <v>3654</v>
      </c>
      <c r="AB127" s="69" t="s">
        <v>3892</v>
      </c>
      <c r="AC127" s="5" t="s">
        <v>7</v>
      </c>
      <c r="AD127" s="2"/>
      <c r="AE127" s="6"/>
      <c r="AF127" s="23"/>
      <c r="AG127" s="6"/>
      <c r="AH127" s="5" t="s">
        <v>2282</v>
      </c>
      <c r="AI127" s="5" t="s">
        <v>514</v>
      </c>
      <c r="AJ127" s="5" t="s">
        <v>280</v>
      </c>
      <c r="AK127" s="21" t="s">
        <v>2</v>
      </c>
      <c r="AL127" s="72" t="s">
        <v>3894</v>
      </c>
      <c r="AM127" s="54" t="s">
        <v>4179</v>
      </c>
      <c r="AN127" s="34" t="s">
        <v>1625</v>
      </c>
    </row>
    <row r="128" spans="2:40" x14ac:dyDescent="0.3">
      <c r="B128" s="18" t="s">
        <v>811</v>
      </c>
      <c r="C128" s="47" t="s">
        <v>2756</v>
      </c>
      <c r="D128" s="15" t="s">
        <v>1931</v>
      </c>
      <c r="E128" s="68" t="s">
        <v>2</v>
      </c>
      <c r="F128" s="55" t="s">
        <v>2</v>
      </c>
      <c r="G128" s="40" t="s">
        <v>2745</v>
      </c>
      <c r="H128" s="71" t="s">
        <v>2745</v>
      </c>
      <c r="I128" s="67" t="s">
        <v>1164</v>
      </c>
      <c r="J128" s="73" t="s">
        <v>270</v>
      </c>
      <c r="K128" s="4">
        <v>9000000</v>
      </c>
      <c r="L128" s="41">
        <v>79.528000000000006</v>
      </c>
      <c r="M128" s="4">
        <v>7157520</v>
      </c>
      <c r="N128" s="4">
        <v>9000000</v>
      </c>
      <c r="O128" s="4">
        <v>9000000</v>
      </c>
      <c r="P128" s="4">
        <v>0</v>
      </c>
      <c r="Q128" s="4">
        <v>0</v>
      </c>
      <c r="R128" s="4">
        <v>0</v>
      </c>
      <c r="S128" s="4">
        <v>0</v>
      </c>
      <c r="T128" s="23">
        <v>2.2189999999999999</v>
      </c>
      <c r="U128" s="23">
        <v>2.2189999999999999</v>
      </c>
      <c r="V128" s="5" t="s">
        <v>3895</v>
      </c>
      <c r="W128" s="4">
        <v>49928</v>
      </c>
      <c r="X128" s="4">
        <v>199710</v>
      </c>
      <c r="Y128" s="14">
        <v>44258</v>
      </c>
      <c r="Z128" s="14">
        <v>48305</v>
      </c>
      <c r="AA128" s="70" t="s">
        <v>3654</v>
      </c>
      <c r="AB128" s="69" t="s">
        <v>3892</v>
      </c>
      <c r="AC128" s="5" t="s">
        <v>7</v>
      </c>
      <c r="AD128" s="2"/>
      <c r="AE128" s="9">
        <v>47939</v>
      </c>
      <c r="AF128" s="23">
        <v>100</v>
      </c>
      <c r="AG128" s="6"/>
      <c r="AH128" s="5" t="s">
        <v>2282</v>
      </c>
      <c r="AI128" s="5" t="s">
        <v>514</v>
      </c>
      <c r="AJ128" s="5" t="s">
        <v>280</v>
      </c>
      <c r="AK128" s="21" t="s">
        <v>2</v>
      </c>
      <c r="AL128" s="72" t="s">
        <v>3894</v>
      </c>
      <c r="AM128" s="54" t="s">
        <v>4179</v>
      </c>
      <c r="AN128" s="34" t="s">
        <v>1625</v>
      </c>
    </row>
    <row r="129" spans="2:40" x14ac:dyDescent="0.3">
      <c r="B129" s="18" t="s">
        <v>1932</v>
      </c>
      <c r="C129" s="47" t="s">
        <v>1418</v>
      </c>
      <c r="D129" s="15" t="s">
        <v>1931</v>
      </c>
      <c r="E129" s="68" t="s">
        <v>2</v>
      </c>
      <c r="F129" s="55" t="s">
        <v>2</v>
      </c>
      <c r="G129" s="40" t="s">
        <v>2745</v>
      </c>
      <c r="H129" s="71" t="s">
        <v>2745</v>
      </c>
      <c r="I129" s="67" t="s">
        <v>1164</v>
      </c>
      <c r="J129" s="73" t="s">
        <v>270</v>
      </c>
      <c r="K129" s="4">
        <v>11945000</v>
      </c>
      <c r="L129" s="41">
        <v>78.397000000000006</v>
      </c>
      <c r="M129" s="4">
        <v>9364522</v>
      </c>
      <c r="N129" s="4">
        <v>11945000</v>
      </c>
      <c r="O129" s="4">
        <v>11945000</v>
      </c>
      <c r="P129" s="4">
        <v>0</v>
      </c>
      <c r="Q129" s="4">
        <v>0</v>
      </c>
      <c r="R129" s="4">
        <v>0</v>
      </c>
      <c r="S129" s="4">
        <v>0</v>
      </c>
      <c r="T129" s="23">
        <v>2.319</v>
      </c>
      <c r="U129" s="23">
        <v>2.319</v>
      </c>
      <c r="V129" s="5" t="s">
        <v>3895</v>
      </c>
      <c r="W129" s="4">
        <v>69251</v>
      </c>
      <c r="X129" s="4">
        <v>277005</v>
      </c>
      <c r="Y129" s="14">
        <v>44258</v>
      </c>
      <c r="Z129" s="14">
        <v>48670</v>
      </c>
      <c r="AA129" s="70" t="s">
        <v>3654</v>
      </c>
      <c r="AB129" s="69" t="s">
        <v>3892</v>
      </c>
      <c r="AC129" s="5" t="s">
        <v>7</v>
      </c>
      <c r="AD129" s="2"/>
      <c r="AE129" s="9">
        <v>47939</v>
      </c>
      <c r="AF129" s="23">
        <v>100</v>
      </c>
      <c r="AG129" s="6"/>
      <c r="AH129" s="5" t="s">
        <v>2282</v>
      </c>
      <c r="AI129" s="5" t="s">
        <v>514</v>
      </c>
      <c r="AJ129" s="5" t="s">
        <v>280</v>
      </c>
      <c r="AK129" s="21" t="s">
        <v>2</v>
      </c>
      <c r="AL129" s="72" t="s">
        <v>3894</v>
      </c>
      <c r="AM129" s="54" t="s">
        <v>4179</v>
      </c>
      <c r="AN129" s="34" t="s">
        <v>1625</v>
      </c>
    </row>
    <row r="130" spans="2:40" x14ac:dyDescent="0.3">
      <c r="B130" s="18" t="s">
        <v>3068</v>
      </c>
      <c r="C130" s="47" t="s">
        <v>3421</v>
      </c>
      <c r="D130" s="15" t="s">
        <v>1419</v>
      </c>
      <c r="E130" s="68" t="s">
        <v>2</v>
      </c>
      <c r="F130" s="55" t="s">
        <v>2</v>
      </c>
      <c r="G130" s="40" t="s">
        <v>2745</v>
      </c>
      <c r="H130" s="71" t="s">
        <v>2745</v>
      </c>
      <c r="I130" s="67" t="s">
        <v>8</v>
      </c>
      <c r="J130" s="73" t="s">
        <v>270</v>
      </c>
      <c r="K130" s="4">
        <v>10098500</v>
      </c>
      <c r="L130" s="41">
        <v>75.168999999999997</v>
      </c>
      <c r="M130" s="4">
        <v>7516900</v>
      </c>
      <c r="N130" s="4">
        <v>10000000</v>
      </c>
      <c r="O130" s="4">
        <v>10087712</v>
      </c>
      <c r="P130" s="4">
        <v>0</v>
      </c>
      <c r="Q130" s="4">
        <v>-7104</v>
      </c>
      <c r="R130" s="4">
        <v>0</v>
      </c>
      <c r="S130" s="4">
        <v>0</v>
      </c>
      <c r="T130" s="23">
        <v>2.1320000000000001</v>
      </c>
      <c r="U130" s="23">
        <v>2.0419999999999998</v>
      </c>
      <c r="V130" s="5" t="s">
        <v>3898</v>
      </c>
      <c r="W130" s="4">
        <v>17767</v>
      </c>
      <c r="X130" s="4">
        <v>213200</v>
      </c>
      <c r="Y130" s="14">
        <v>44361</v>
      </c>
      <c r="Z130" s="14">
        <v>48914</v>
      </c>
      <c r="AA130" s="70" t="s">
        <v>3654</v>
      </c>
      <c r="AB130" s="69" t="s">
        <v>3892</v>
      </c>
      <c r="AC130" s="5" t="s">
        <v>7</v>
      </c>
      <c r="AD130" s="2"/>
      <c r="AE130" s="10"/>
      <c r="AF130" s="23"/>
      <c r="AG130" s="6"/>
      <c r="AH130" s="5" t="s">
        <v>2</v>
      </c>
      <c r="AI130" s="5" t="s">
        <v>1420</v>
      </c>
      <c r="AJ130" s="5" t="s">
        <v>282</v>
      </c>
      <c r="AK130" s="21" t="s">
        <v>2</v>
      </c>
      <c r="AL130" s="72" t="s">
        <v>3894</v>
      </c>
      <c r="AM130" s="54" t="s">
        <v>4179</v>
      </c>
      <c r="AN130" s="34" t="s">
        <v>1923</v>
      </c>
    </row>
    <row r="131" spans="2:40" x14ac:dyDescent="0.3">
      <c r="B131" s="18" t="s">
        <v>4200</v>
      </c>
      <c r="C131" s="47" t="s">
        <v>2545</v>
      </c>
      <c r="D131" s="15" t="s">
        <v>3422</v>
      </c>
      <c r="E131" s="68" t="s">
        <v>2</v>
      </c>
      <c r="F131" s="55" t="s">
        <v>2</v>
      </c>
      <c r="G131" s="40" t="s">
        <v>2745</v>
      </c>
      <c r="H131" s="71" t="s">
        <v>2745</v>
      </c>
      <c r="I131" s="67" t="s">
        <v>2274</v>
      </c>
      <c r="J131" s="73" t="s">
        <v>270</v>
      </c>
      <c r="K131" s="4">
        <v>3077519</v>
      </c>
      <c r="L131" s="41">
        <v>75.849999999999994</v>
      </c>
      <c r="M131" s="4">
        <v>2400653</v>
      </c>
      <c r="N131" s="4">
        <v>3165000</v>
      </c>
      <c r="O131" s="4">
        <v>3085051</v>
      </c>
      <c r="P131" s="4">
        <v>0</v>
      </c>
      <c r="Q131" s="4">
        <v>6369</v>
      </c>
      <c r="R131" s="4">
        <v>0</v>
      </c>
      <c r="S131" s="4">
        <v>0</v>
      </c>
      <c r="T131" s="23">
        <v>2.19</v>
      </c>
      <c r="U131" s="23">
        <v>2.4569999999999999</v>
      </c>
      <c r="V131" s="5" t="s">
        <v>3409</v>
      </c>
      <c r="W131" s="4">
        <v>11552</v>
      </c>
      <c r="X131" s="4">
        <v>69314</v>
      </c>
      <c r="Y131" s="14">
        <v>44490</v>
      </c>
      <c r="Z131" s="14">
        <v>48884</v>
      </c>
      <c r="AA131" s="70" t="s">
        <v>3654</v>
      </c>
      <c r="AB131" s="69" t="s">
        <v>3892</v>
      </c>
      <c r="AC131" s="5" t="s">
        <v>7</v>
      </c>
      <c r="AD131" s="2"/>
      <c r="AE131" s="14">
        <v>47788</v>
      </c>
      <c r="AF131" s="23">
        <v>100</v>
      </c>
      <c r="AG131" s="6"/>
      <c r="AH131" s="5" t="s">
        <v>2</v>
      </c>
      <c r="AI131" s="5" t="s">
        <v>515</v>
      </c>
      <c r="AJ131" s="5" t="s">
        <v>19</v>
      </c>
      <c r="AK131" s="21" t="s">
        <v>2</v>
      </c>
      <c r="AL131" s="72" t="s">
        <v>3894</v>
      </c>
      <c r="AM131" s="54" t="s">
        <v>4179</v>
      </c>
      <c r="AN131" s="34" t="s">
        <v>1408</v>
      </c>
    </row>
    <row r="132" spans="2:40" x14ac:dyDescent="0.3">
      <c r="B132" s="18" t="s">
        <v>812</v>
      </c>
      <c r="C132" s="47" t="s">
        <v>1421</v>
      </c>
      <c r="D132" s="15" t="s">
        <v>3422</v>
      </c>
      <c r="E132" s="68" t="s">
        <v>2</v>
      </c>
      <c r="F132" s="55" t="s">
        <v>2</v>
      </c>
      <c r="G132" s="40" t="s">
        <v>2745</v>
      </c>
      <c r="H132" s="71" t="s">
        <v>2745</v>
      </c>
      <c r="I132" s="67" t="s">
        <v>2274</v>
      </c>
      <c r="J132" s="73" t="s">
        <v>270</v>
      </c>
      <c r="K132" s="4">
        <v>25063601</v>
      </c>
      <c r="L132" s="41">
        <v>76.236000000000004</v>
      </c>
      <c r="M132" s="4">
        <v>19139048</v>
      </c>
      <c r="N132" s="4">
        <v>25105000</v>
      </c>
      <c r="O132" s="4">
        <v>25068196</v>
      </c>
      <c r="P132" s="4">
        <v>0</v>
      </c>
      <c r="Q132" s="4">
        <v>3350</v>
      </c>
      <c r="R132" s="4">
        <v>0</v>
      </c>
      <c r="S132" s="4">
        <v>0</v>
      </c>
      <c r="T132" s="23">
        <v>1.994</v>
      </c>
      <c r="U132" s="23">
        <v>2.0099999999999998</v>
      </c>
      <c r="V132" s="5" t="s">
        <v>3409</v>
      </c>
      <c r="W132" s="4">
        <v>83432</v>
      </c>
      <c r="X132" s="4">
        <v>500592</v>
      </c>
      <c r="Y132" s="14">
        <v>44390</v>
      </c>
      <c r="Z132" s="14">
        <v>48519</v>
      </c>
      <c r="AA132" s="70" t="s">
        <v>3654</v>
      </c>
      <c r="AB132" s="69" t="s">
        <v>3892</v>
      </c>
      <c r="AC132" s="5" t="s">
        <v>7</v>
      </c>
      <c r="AD132" s="2"/>
      <c r="AE132" s="9">
        <v>48153</v>
      </c>
      <c r="AF132" s="23">
        <v>100</v>
      </c>
      <c r="AG132" s="6"/>
      <c r="AH132" s="5" t="s">
        <v>2</v>
      </c>
      <c r="AI132" s="5" t="s">
        <v>515</v>
      </c>
      <c r="AJ132" s="5" t="s">
        <v>19</v>
      </c>
      <c r="AK132" s="21" t="s">
        <v>2</v>
      </c>
      <c r="AL132" s="72" t="s">
        <v>3894</v>
      </c>
      <c r="AM132" s="54" t="s">
        <v>4179</v>
      </c>
      <c r="AN132" s="34" t="s">
        <v>1408</v>
      </c>
    </row>
    <row r="133" spans="2:40" x14ac:dyDescent="0.3">
      <c r="B133" s="18" t="s">
        <v>2283</v>
      </c>
      <c r="C133" s="47" t="s">
        <v>1422</v>
      </c>
      <c r="D133" s="15" t="s">
        <v>3422</v>
      </c>
      <c r="E133" s="68" t="s">
        <v>2</v>
      </c>
      <c r="F133" s="55" t="s">
        <v>2</v>
      </c>
      <c r="G133" s="40" t="s">
        <v>2745</v>
      </c>
      <c r="H133" s="71" t="s">
        <v>2745</v>
      </c>
      <c r="I133" s="67" t="s">
        <v>2274</v>
      </c>
      <c r="J133" s="73" t="s">
        <v>270</v>
      </c>
      <c r="K133" s="4">
        <v>9915649</v>
      </c>
      <c r="L133" s="41">
        <v>75.471999999999994</v>
      </c>
      <c r="M133" s="4">
        <v>7539653</v>
      </c>
      <c r="N133" s="4">
        <v>9990000</v>
      </c>
      <c r="O133" s="4">
        <v>9922281</v>
      </c>
      <c r="P133" s="4">
        <v>0</v>
      </c>
      <c r="Q133" s="4">
        <v>5451</v>
      </c>
      <c r="R133" s="4">
        <v>0</v>
      </c>
      <c r="S133" s="4">
        <v>0</v>
      </c>
      <c r="T133" s="23">
        <v>2.1440000000000001</v>
      </c>
      <c r="U133" s="23">
        <v>2.2149999999999999</v>
      </c>
      <c r="V133" s="5" t="s">
        <v>3409</v>
      </c>
      <c r="W133" s="4">
        <v>35698</v>
      </c>
      <c r="X133" s="4">
        <v>214186</v>
      </c>
      <c r="Y133" s="14">
        <v>44476</v>
      </c>
      <c r="Z133" s="14">
        <v>48884</v>
      </c>
      <c r="AA133" s="70" t="s">
        <v>3654</v>
      </c>
      <c r="AB133" s="69" t="s">
        <v>3892</v>
      </c>
      <c r="AC133" s="5" t="s">
        <v>7</v>
      </c>
      <c r="AD133" s="2"/>
      <c r="AE133" s="9">
        <v>48153</v>
      </c>
      <c r="AF133" s="23">
        <v>100</v>
      </c>
      <c r="AG133" s="6"/>
      <c r="AH133" s="5" t="s">
        <v>2</v>
      </c>
      <c r="AI133" s="5" t="s">
        <v>515</v>
      </c>
      <c r="AJ133" s="5" t="s">
        <v>19</v>
      </c>
      <c r="AK133" s="21" t="s">
        <v>2</v>
      </c>
      <c r="AL133" s="72" t="s">
        <v>3894</v>
      </c>
      <c r="AM133" s="54" t="s">
        <v>4179</v>
      </c>
      <c r="AN133" s="34" t="s">
        <v>1408</v>
      </c>
    </row>
    <row r="134" spans="2:40" x14ac:dyDescent="0.3">
      <c r="B134" s="18" t="s">
        <v>3423</v>
      </c>
      <c r="C134" s="47" t="s">
        <v>813</v>
      </c>
      <c r="D134" s="15" t="s">
        <v>2757</v>
      </c>
      <c r="E134" s="68" t="s">
        <v>2</v>
      </c>
      <c r="F134" s="55" t="s">
        <v>2</v>
      </c>
      <c r="G134" s="40" t="s">
        <v>2</v>
      </c>
      <c r="H134" s="71" t="s">
        <v>2745</v>
      </c>
      <c r="I134" s="67" t="s">
        <v>3660</v>
      </c>
      <c r="J134" s="73" t="s">
        <v>270</v>
      </c>
      <c r="K134" s="4">
        <v>2000000</v>
      </c>
      <c r="L134" s="41">
        <v>87.914000000000001</v>
      </c>
      <c r="M134" s="4">
        <v>1758280</v>
      </c>
      <c r="N134" s="4">
        <v>2000000</v>
      </c>
      <c r="O134" s="4">
        <v>2000000</v>
      </c>
      <c r="P134" s="4">
        <v>0</v>
      </c>
      <c r="Q134" s="4">
        <v>0</v>
      </c>
      <c r="R134" s="4">
        <v>0</v>
      </c>
      <c r="S134" s="4">
        <v>0</v>
      </c>
      <c r="T134" s="23">
        <v>2.5880000000000001</v>
      </c>
      <c r="U134" s="23">
        <v>2.5880000000000001</v>
      </c>
      <c r="V134" s="5" t="s">
        <v>3898</v>
      </c>
      <c r="W134" s="4">
        <v>4313</v>
      </c>
      <c r="X134" s="4">
        <v>51760</v>
      </c>
      <c r="Y134" s="14">
        <v>43840</v>
      </c>
      <c r="Z134" s="14">
        <v>46905</v>
      </c>
      <c r="AA134" s="70" t="s">
        <v>3060</v>
      </c>
      <c r="AB134" s="69" t="s">
        <v>3892</v>
      </c>
      <c r="AC134" s="5" t="s">
        <v>7</v>
      </c>
      <c r="AD134" s="2"/>
      <c r="AE134" s="6"/>
      <c r="AF134" s="23"/>
      <c r="AG134" s="6"/>
      <c r="AH134" s="5" t="s">
        <v>2</v>
      </c>
      <c r="AI134" s="5" t="s">
        <v>2546</v>
      </c>
      <c r="AJ134" s="5" t="s">
        <v>3664</v>
      </c>
      <c r="AK134" s="21" t="s">
        <v>2</v>
      </c>
      <c r="AL134" s="72" t="s">
        <v>3894</v>
      </c>
      <c r="AM134" s="54" t="s">
        <v>4179</v>
      </c>
      <c r="AN134" s="34" t="s">
        <v>1170</v>
      </c>
    </row>
    <row r="135" spans="2:40" x14ac:dyDescent="0.3">
      <c r="B135" s="18" t="s">
        <v>20</v>
      </c>
      <c r="C135" s="47" t="s">
        <v>3665</v>
      </c>
      <c r="D135" s="15" t="s">
        <v>2757</v>
      </c>
      <c r="E135" s="68" t="s">
        <v>2</v>
      </c>
      <c r="F135" s="55" t="s">
        <v>2</v>
      </c>
      <c r="G135" s="40" t="s">
        <v>2</v>
      </c>
      <c r="H135" s="71" t="s">
        <v>2745</v>
      </c>
      <c r="I135" s="67" t="s">
        <v>3660</v>
      </c>
      <c r="J135" s="73" t="s">
        <v>270</v>
      </c>
      <c r="K135" s="4">
        <v>2070000</v>
      </c>
      <c r="L135" s="41">
        <v>89.358000000000004</v>
      </c>
      <c r="M135" s="4">
        <v>1849711</v>
      </c>
      <c r="N135" s="4">
        <v>2070000</v>
      </c>
      <c r="O135" s="4">
        <v>2070000</v>
      </c>
      <c r="P135" s="4">
        <v>0</v>
      </c>
      <c r="Q135" s="4">
        <v>0</v>
      </c>
      <c r="R135" s="4">
        <v>0</v>
      </c>
      <c r="S135" s="4">
        <v>0</v>
      </c>
      <c r="T135" s="23">
        <v>2.419</v>
      </c>
      <c r="U135" s="23">
        <v>2.419</v>
      </c>
      <c r="V135" s="5" t="s">
        <v>3898</v>
      </c>
      <c r="W135" s="4">
        <v>4173</v>
      </c>
      <c r="X135" s="4">
        <v>50073</v>
      </c>
      <c r="Y135" s="14">
        <v>43840</v>
      </c>
      <c r="Z135" s="14">
        <v>46539</v>
      </c>
      <c r="AA135" s="70" t="s">
        <v>3060</v>
      </c>
      <c r="AB135" s="69" t="s">
        <v>3892</v>
      </c>
      <c r="AC135" s="5" t="s">
        <v>7</v>
      </c>
      <c r="AD135" s="2"/>
      <c r="AE135" s="6"/>
      <c r="AF135" s="23"/>
      <c r="AG135" s="6"/>
      <c r="AH135" s="5" t="s">
        <v>2</v>
      </c>
      <c r="AI135" s="5" t="s">
        <v>2546</v>
      </c>
      <c r="AJ135" s="5" t="s">
        <v>3664</v>
      </c>
      <c r="AK135" s="21" t="s">
        <v>2</v>
      </c>
      <c r="AL135" s="72" t="s">
        <v>3894</v>
      </c>
      <c r="AM135" s="54" t="s">
        <v>4179</v>
      </c>
      <c r="AN135" s="34" t="s">
        <v>1170</v>
      </c>
    </row>
    <row r="136" spans="2:40" x14ac:dyDescent="0.3">
      <c r="B136" s="18" t="s">
        <v>1173</v>
      </c>
      <c r="C136" s="47" t="s">
        <v>3666</v>
      </c>
      <c r="D136" s="15" t="s">
        <v>2757</v>
      </c>
      <c r="E136" s="68" t="s">
        <v>2</v>
      </c>
      <c r="F136" s="55" t="s">
        <v>2</v>
      </c>
      <c r="G136" s="40" t="s">
        <v>2</v>
      </c>
      <c r="H136" s="71" t="s">
        <v>2745</v>
      </c>
      <c r="I136" s="67" t="s">
        <v>3660</v>
      </c>
      <c r="J136" s="73" t="s">
        <v>270</v>
      </c>
      <c r="K136" s="4">
        <v>1555000</v>
      </c>
      <c r="L136" s="41">
        <v>87.914000000000001</v>
      </c>
      <c r="M136" s="4">
        <v>1367063</v>
      </c>
      <c r="N136" s="4">
        <v>1555000</v>
      </c>
      <c r="O136" s="4">
        <v>1555000</v>
      </c>
      <c r="P136" s="4">
        <v>0</v>
      </c>
      <c r="Q136" s="4">
        <v>0</v>
      </c>
      <c r="R136" s="4">
        <v>0</v>
      </c>
      <c r="S136" s="4">
        <v>0</v>
      </c>
      <c r="T136" s="23">
        <v>2.5880000000000001</v>
      </c>
      <c r="U136" s="23">
        <v>2.5880000000000001</v>
      </c>
      <c r="V136" s="5" t="s">
        <v>3898</v>
      </c>
      <c r="W136" s="4">
        <v>3354</v>
      </c>
      <c r="X136" s="4">
        <v>40243</v>
      </c>
      <c r="Y136" s="14">
        <v>43840</v>
      </c>
      <c r="Z136" s="14">
        <v>46905</v>
      </c>
      <c r="AA136" s="70" t="s">
        <v>3060</v>
      </c>
      <c r="AB136" s="69" t="s">
        <v>3892</v>
      </c>
      <c r="AC136" s="5" t="s">
        <v>7</v>
      </c>
      <c r="AD136" s="2"/>
      <c r="AE136" s="10"/>
      <c r="AF136" s="23"/>
      <c r="AG136" s="6"/>
      <c r="AH136" s="5" t="s">
        <v>2</v>
      </c>
      <c r="AI136" s="5" t="s">
        <v>2546</v>
      </c>
      <c r="AJ136" s="5" t="s">
        <v>3664</v>
      </c>
      <c r="AK136" s="21" t="s">
        <v>2</v>
      </c>
      <c r="AL136" s="72" t="s">
        <v>3894</v>
      </c>
      <c r="AM136" s="54" t="s">
        <v>4179</v>
      </c>
      <c r="AN136" s="34" t="s">
        <v>1170</v>
      </c>
    </row>
    <row r="137" spans="2:40" x14ac:dyDescent="0.3">
      <c r="B137" s="18" t="s">
        <v>2284</v>
      </c>
      <c r="C137" s="47" t="s">
        <v>21</v>
      </c>
      <c r="D137" s="15" t="s">
        <v>516</v>
      </c>
      <c r="E137" s="68" t="s">
        <v>2</v>
      </c>
      <c r="F137" s="55" t="s">
        <v>2</v>
      </c>
      <c r="G137" s="40" t="s">
        <v>2</v>
      </c>
      <c r="H137" s="71" t="s">
        <v>2745</v>
      </c>
      <c r="I137" s="67" t="s">
        <v>1164</v>
      </c>
      <c r="J137" s="73" t="s">
        <v>270</v>
      </c>
      <c r="K137" s="4">
        <v>2600000</v>
      </c>
      <c r="L137" s="41">
        <v>98.29</v>
      </c>
      <c r="M137" s="4">
        <v>2555540</v>
      </c>
      <c r="N137" s="4">
        <v>2600000</v>
      </c>
      <c r="O137" s="4">
        <v>2600000</v>
      </c>
      <c r="P137" s="4">
        <v>0</v>
      </c>
      <c r="Q137" s="4">
        <v>0</v>
      </c>
      <c r="R137" s="4">
        <v>0</v>
      </c>
      <c r="S137" s="4">
        <v>0</v>
      </c>
      <c r="T137" s="23">
        <v>2.0680000000000001</v>
      </c>
      <c r="U137" s="23">
        <v>2.0680000000000001</v>
      </c>
      <c r="V137" s="5" t="s">
        <v>3895</v>
      </c>
      <c r="W137" s="4">
        <v>13442</v>
      </c>
      <c r="X137" s="4">
        <v>53768</v>
      </c>
      <c r="Y137" s="14">
        <v>42544</v>
      </c>
      <c r="Z137" s="14">
        <v>45200</v>
      </c>
      <c r="AA137" s="70" t="s">
        <v>2758</v>
      </c>
      <c r="AB137" s="69" t="s">
        <v>3892</v>
      </c>
      <c r="AC137" s="5" t="s">
        <v>7</v>
      </c>
      <c r="AD137" s="2"/>
      <c r="AE137" s="10"/>
      <c r="AF137" s="23"/>
      <c r="AG137" s="6"/>
      <c r="AH137" s="5" t="s">
        <v>2</v>
      </c>
      <c r="AI137" s="5" t="s">
        <v>1933</v>
      </c>
      <c r="AJ137" s="5" t="s">
        <v>1933</v>
      </c>
      <c r="AK137" s="21" t="s">
        <v>2</v>
      </c>
      <c r="AL137" s="72" t="s">
        <v>3894</v>
      </c>
      <c r="AM137" s="54" t="s">
        <v>4179</v>
      </c>
      <c r="AN137" s="34" t="s">
        <v>1625</v>
      </c>
    </row>
    <row r="138" spans="2:40" x14ac:dyDescent="0.3">
      <c r="B138" s="18" t="s">
        <v>4201</v>
      </c>
      <c r="C138" s="47" t="s">
        <v>1638</v>
      </c>
      <c r="D138" s="15" t="s">
        <v>814</v>
      </c>
      <c r="E138" s="68" t="s">
        <v>2</v>
      </c>
      <c r="F138" s="55" t="s">
        <v>2</v>
      </c>
      <c r="G138" s="40" t="s">
        <v>2745</v>
      </c>
      <c r="H138" s="71" t="s">
        <v>2745</v>
      </c>
      <c r="I138" s="67" t="s">
        <v>2274</v>
      </c>
      <c r="J138" s="73" t="s">
        <v>270</v>
      </c>
      <c r="K138" s="4">
        <v>1000000</v>
      </c>
      <c r="L138" s="41">
        <v>84.911000000000001</v>
      </c>
      <c r="M138" s="4">
        <v>849110</v>
      </c>
      <c r="N138" s="4">
        <v>1000000</v>
      </c>
      <c r="O138" s="4">
        <v>1000000</v>
      </c>
      <c r="P138" s="4">
        <v>0</v>
      </c>
      <c r="Q138" s="4">
        <v>0</v>
      </c>
      <c r="R138" s="4">
        <v>0</v>
      </c>
      <c r="S138" s="4">
        <v>0</v>
      </c>
      <c r="T138" s="23">
        <v>2.5019999999999998</v>
      </c>
      <c r="U138" s="23">
        <v>2.5019999999999998</v>
      </c>
      <c r="V138" s="5" t="s">
        <v>3898</v>
      </c>
      <c r="W138" s="4">
        <v>2085</v>
      </c>
      <c r="X138" s="4">
        <v>25020</v>
      </c>
      <c r="Y138" s="14">
        <v>43837</v>
      </c>
      <c r="Z138" s="14">
        <v>46905</v>
      </c>
      <c r="AA138" s="70" t="s">
        <v>3069</v>
      </c>
      <c r="AB138" s="69" t="s">
        <v>3892</v>
      </c>
      <c r="AC138" s="5" t="s">
        <v>7</v>
      </c>
      <c r="AD138" s="2"/>
      <c r="AE138" s="10"/>
      <c r="AF138" s="23"/>
      <c r="AG138" s="6"/>
      <c r="AH138" s="5" t="s">
        <v>2</v>
      </c>
      <c r="AI138" s="5" t="s">
        <v>814</v>
      </c>
      <c r="AJ138" s="5" t="s">
        <v>2</v>
      </c>
      <c r="AK138" s="21" t="s">
        <v>2</v>
      </c>
      <c r="AL138" s="72" t="s">
        <v>3894</v>
      </c>
      <c r="AM138" s="54" t="s">
        <v>4179</v>
      </c>
      <c r="AN138" s="34" t="s">
        <v>1408</v>
      </c>
    </row>
    <row r="139" spans="2:40" x14ac:dyDescent="0.3">
      <c r="B139" s="18" t="s">
        <v>815</v>
      </c>
      <c r="C139" s="47" t="s">
        <v>517</v>
      </c>
      <c r="D139" s="15" t="s">
        <v>816</v>
      </c>
      <c r="E139" s="68" t="s">
        <v>2</v>
      </c>
      <c r="F139" s="55" t="s">
        <v>2</v>
      </c>
      <c r="G139" s="40" t="s">
        <v>2745</v>
      </c>
      <c r="H139" s="71" t="s">
        <v>2745</v>
      </c>
      <c r="I139" s="67" t="s">
        <v>8</v>
      </c>
      <c r="J139" s="73" t="s">
        <v>270</v>
      </c>
      <c r="K139" s="4">
        <v>1000000</v>
      </c>
      <c r="L139" s="41">
        <v>80.864999999999995</v>
      </c>
      <c r="M139" s="4">
        <v>808650</v>
      </c>
      <c r="N139" s="4">
        <v>1000000</v>
      </c>
      <c r="O139" s="4">
        <v>1000000</v>
      </c>
      <c r="P139" s="4">
        <v>0</v>
      </c>
      <c r="Q139" s="4">
        <v>0</v>
      </c>
      <c r="R139" s="4">
        <v>0</v>
      </c>
      <c r="S139" s="4">
        <v>0</v>
      </c>
      <c r="T139" s="23">
        <v>2.117</v>
      </c>
      <c r="U139" s="23">
        <v>2.117</v>
      </c>
      <c r="V139" s="5" t="s">
        <v>1916</v>
      </c>
      <c r="W139" s="4">
        <v>10585</v>
      </c>
      <c r="X139" s="4">
        <v>22464</v>
      </c>
      <c r="Y139" s="14">
        <v>44343</v>
      </c>
      <c r="Z139" s="14">
        <v>47665</v>
      </c>
      <c r="AA139" s="70" t="s">
        <v>3654</v>
      </c>
      <c r="AB139" s="69" t="s">
        <v>3892</v>
      </c>
      <c r="AC139" s="5" t="s">
        <v>7</v>
      </c>
      <c r="AD139" s="2"/>
      <c r="AE139" s="10"/>
      <c r="AF139" s="23"/>
      <c r="AG139" s="10"/>
      <c r="AH139" s="5" t="s">
        <v>2</v>
      </c>
      <c r="AI139" s="5" t="s">
        <v>816</v>
      </c>
      <c r="AJ139" s="5" t="s">
        <v>2</v>
      </c>
      <c r="AK139" s="21" t="s">
        <v>2</v>
      </c>
      <c r="AL139" s="72" t="s">
        <v>3894</v>
      </c>
      <c r="AM139" s="54" t="s">
        <v>4179</v>
      </c>
      <c r="AN139" s="34" t="s">
        <v>1923</v>
      </c>
    </row>
    <row r="140" spans="2:40" x14ac:dyDescent="0.3">
      <c r="B140" s="18" t="s">
        <v>1934</v>
      </c>
      <c r="C140" s="47" t="s">
        <v>1935</v>
      </c>
      <c r="D140" s="15" t="s">
        <v>816</v>
      </c>
      <c r="E140" s="68" t="s">
        <v>2</v>
      </c>
      <c r="F140" s="55" t="s">
        <v>2</v>
      </c>
      <c r="G140" s="40" t="s">
        <v>2745</v>
      </c>
      <c r="H140" s="71" t="s">
        <v>2745</v>
      </c>
      <c r="I140" s="67" t="s">
        <v>8</v>
      </c>
      <c r="J140" s="73" t="s">
        <v>270</v>
      </c>
      <c r="K140" s="4">
        <v>705000</v>
      </c>
      <c r="L140" s="41">
        <v>79.653999999999996</v>
      </c>
      <c r="M140" s="4">
        <v>561561</v>
      </c>
      <c r="N140" s="4">
        <v>705000</v>
      </c>
      <c r="O140" s="4">
        <v>705000</v>
      </c>
      <c r="P140" s="4">
        <v>0</v>
      </c>
      <c r="Q140" s="4">
        <v>0</v>
      </c>
      <c r="R140" s="4">
        <v>0</v>
      </c>
      <c r="S140" s="4">
        <v>0</v>
      </c>
      <c r="T140" s="23">
        <v>2.2669999999999999</v>
      </c>
      <c r="U140" s="23">
        <v>2.2669999999999999</v>
      </c>
      <c r="V140" s="5" t="s">
        <v>1916</v>
      </c>
      <c r="W140" s="4">
        <v>7991</v>
      </c>
      <c r="X140" s="4">
        <v>16959</v>
      </c>
      <c r="Y140" s="14">
        <v>44343</v>
      </c>
      <c r="Z140" s="14">
        <v>48030</v>
      </c>
      <c r="AA140" s="70" t="s">
        <v>3654</v>
      </c>
      <c r="AB140" s="69" t="s">
        <v>3892</v>
      </c>
      <c r="AC140" s="5" t="s">
        <v>7</v>
      </c>
      <c r="AD140" s="2"/>
      <c r="AE140" s="10"/>
      <c r="AF140" s="23"/>
      <c r="AG140" s="10"/>
      <c r="AH140" s="5" t="s">
        <v>2</v>
      </c>
      <c r="AI140" s="5" t="s">
        <v>816</v>
      </c>
      <c r="AJ140" s="5" t="s">
        <v>2</v>
      </c>
      <c r="AK140" s="21" t="s">
        <v>2</v>
      </c>
      <c r="AL140" s="72" t="s">
        <v>3894</v>
      </c>
      <c r="AM140" s="54" t="s">
        <v>4179</v>
      </c>
      <c r="AN140" s="34" t="s">
        <v>1923</v>
      </c>
    </row>
    <row r="141" spans="2:40" x14ac:dyDescent="0.3">
      <c r="B141" s="18" t="s">
        <v>3070</v>
      </c>
      <c r="C141" s="47" t="s">
        <v>1936</v>
      </c>
      <c r="D141" s="15" t="s">
        <v>816</v>
      </c>
      <c r="E141" s="68" t="s">
        <v>2</v>
      </c>
      <c r="F141" s="55" t="s">
        <v>2</v>
      </c>
      <c r="G141" s="40" t="s">
        <v>2745</v>
      </c>
      <c r="H141" s="71" t="s">
        <v>2745</v>
      </c>
      <c r="I141" s="67" t="s">
        <v>8</v>
      </c>
      <c r="J141" s="73" t="s">
        <v>270</v>
      </c>
      <c r="K141" s="4">
        <v>1000000</v>
      </c>
      <c r="L141" s="41">
        <v>78.700999999999993</v>
      </c>
      <c r="M141" s="4">
        <v>787010</v>
      </c>
      <c r="N141" s="4">
        <v>1000000</v>
      </c>
      <c r="O141" s="4">
        <v>1000000</v>
      </c>
      <c r="P141" s="4">
        <v>0</v>
      </c>
      <c r="Q141" s="4">
        <v>0</v>
      </c>
      <c r="R141" s="4">
        <v>0</v>
      </c>
      <c r="S141" s="4">
        <v>0</v>
      </c>
      <c r="T141" s="23">
        <v>2.4169999999999998</v>
      </c>
      <c r="U141" s="23">
        <v>2.4169999999999998</v>
      </c>
      <c r="V141" s="5" t="s">
        <v>1916</v>
      </c>
      <c r="W141" s="4">
        <v>12085</v>
      </c>
      <c r="X141" s="4">
        <v>25647</v>
      </c>
      <c r="Y141" s="14">
        <v>44343</v>
      </c>
      <c r="Z141" s="14">
        <v>48396</v>
      </c>
      <c r="AA141" s="70" t="s">
        <v>3654</v>
      </c>
      <c r="AB141" s="69" t="s">
        <v>3892</v>
      </c>
      <c r="AC141" s="5" t="s">
        <v>7</v>
      </c>
      <c r="AD141" s="2"/>
      <c r="AE141" s="9">
        <v>48030</v>
      </c>
      <c r="AF141" s="23">
        <v>100</v>
      </c>
      <c r="AG141" s="6"/>
      <c r="AH141" s="5" t="s">
        <v>2</v>
      </c>
      <c r="AI141" s="5" t="s">
        <v>816</v>
      </c>
      <c r="AJ141" s="5" t="s">
        <v>2</v>
      </c>
      <c r="AK141" s="21" t="s">
        <v>2</v>
      </c>
      <c r="AL141" s="72" t="s">
        <v>3894</v>
      </c>
      <c r="AM141" s="54" t="s">
        <v>4179</v>
      </c>
      <c r="AN141" s="34" t="s">
        <v>1923</v>
      </c>
    </row>
    <row r="142" spans="2:40" x14ac:dyDescent="0.3">
      <c r="B142" s="18" t="s">
        <v>22</v>
      </c>
      <c r="C142" s="47" t="s">
        <v>1937</v>
      </c>
      <c r="D142" s="15" t="s">
        <v>816</v>
      </c>
      <c r="E142" s="68" t="s">
        <v>2</v>
      </c>
      <c r="F142" s="55" t="s">
        <v>2</v>
      </c>
      <c r="G142" s="40" t="s">
        <v>2745</v>
      </c>
      <c r="H142" s="71" t="s">
        <v>2745</v>
      </c>
      <c r="I142" s="67" t="s">
        <v>8</v>
      </c>
      <c r="J142" s="73" t="s">
        <v>270</v>
      </c>
      <c r="K142" s="4">
        <v>813200</v>
      </c>
      <c r="L142" s="41">
        <v>78.03</v>
      </c>
      <c r="M142" s="4">
        <v>780300</v>
      </c>
      <c r="N142" s="4">
        <v>1000000</v>
      </c>
      <c r="O142" s="4">
        <v>817663</v>
      </c>
      <c r="P142" s="4">
        <v>0</v>
      </c>
      <c r="Q142" s="4">
        <v>4463</v>
      </c>
      <c r="R142" s="4">
        <v>0</v>
      </c>
      <c r="S142" s="4">
        <v>0</v>
      </c>
      <c r="T142" s="23">
        <v>2.577</v>
      </c>
      <c r="U142" s="23">
        <v>4.8090000000000002</v>
      </c>
      <c r="V142" s="5" t="s">
        <v>1916</v>
      </c>
      <c r="W142" s="4">
        <v>12885</v>
      </c>
      <c r="X142" s="4">
        <v>0</v>
      </c>
      <c r="Y142" s="14">
        <v>44803</v>
      </c>
      <c r="Z142" s="14">
        <v>48761</v>
      </c>
      <c r="AA142" s="70" t="s">
        <v>3654</v>
      </c>
      <c r="AB142" s="69" t="s">
        <v>3892</v>
      </c>
      <c r="AC142" s="5" t="s">
        <v>7</v>
      </c>
      <c r="AD142" s="2"/>
      <c r="AE142" s="9">
        <v>48030</v>
      </c>
      <c r="AF142" s="23">
        <v>100</v>
      </c>
      <c r="AG142" s="6"/>
      <c r="AH142" s="5" t="s">
        <v>2</v>
      </c>
      <c r="AI142" s="5" t="s">
        <v>816</v>
      </c>
      <c r="AJ142" s="5" t="s">
        <v>2</v>
      </c>
      <c r="AK142" s="21" t="s">
        <v>2</v>
      </c>
      <c r="AL142" s="72" t="s">
        <v>1921</v>
      </c>
      <c r="AM142" s="54" t="s">
        <v>4179</v>
      </c>
      <c r="AN142" s="34" t="s">
        <v>1923</v>
      </c>
    </row>
    <row r="143" spans="2:40" x14ac:dyDescent="0.3">
      <c r="B143" s="18" t="s">
        <v>1174</v>
      </c>
      <c r="C143" s="47" t="s">
        <v>1639</v>
      </c>
      <c r="D143" s="15" t="s">
        <v>4202</v>
      </c>
      <c r="E143" s="68" t="s">
        <v>2</v>
      </c>
      <c r="F143" s="55" t="s">
        <v>2</v>
      </c>
      <c r="G143" s="40" t="s">
        <v>2745</v>
      </c>
      <c r="H143" s="71" t="s">
        <v>2745</v>
      </c>
      <c r="I143" s="67" t="s">
        <v>3408</v>
      </c>
      <c r="J143" s="73" t="s">
        <v>270</v>
      </c>
      <c r="K143" s="4">
        <v>5000000</v>
      </c>
      <c r="L143" s="41">
        <v>80.981999999999999</v>
      </c>
      <c r="M143" s="4">
        <v>4049100</v>
      </c>
      <c r="N143" s="4">
        <v>5000000</v>
      </c>
      <c r="O143" s="4">
        <v>5000000</v>
      </c>
      <c r="P143" s="4">
        <v>0</v>
      </c>
      <c r="Q143" s="4">
        <v>0</v>
      </c>
      <c r="R143" s="4">
        <v>0</v>
      </c>
      <c r="S143" s="4">
        <v>0</v>
      </c>
      <c r="T143" s="23">
        <v>2.3290000000000002</v>
      </c>
      <c r="U143" s="23">
        <v>2.3290000000000002</v>
      </c>
      <c r="V143" s="5" t="s">
        <v>3409</v>
      </c>
      <c r="W143" s="4">
        <v>19408</v>
      </c>
      <c r="X143" s="4">
        <v>116450</v>
      </c>
      <c r="Y143" s="9">
        <v>43867</v>
      </c>
      <c r="Z143" s="9">
        <v>48153</v>
      </c>
      <c r="AA143" s="70" t="s">
        <v>2758</v>
      </c>
      <c r="AB143" s="69" t="s">
        <v>3892</v>
      </c>
      <c r="AC143" s="5" t="s">
        <v>7</v>
      </c>
      <c r="AD143" s="2"/>
      <c r="AE143" s="6"/>
      <c r="AF143" s="23"/>
      <c r="AG143" s="6"/>
      <c r="AH143" s="5" t="s">
        <v>2</v>
      </c>
      <c r="AI143" s="5" t="s">
        <v>4202</v>
      </c>
      <c r="AJ143" s="5" t="s">
        <v>2</v>
      </c>
      <c r="AK143" s="21" t="s">
        <v>2</v>
      </c>
      <c r="AL143" s="72" t="s">
        <v>3894</v>
      </c>
      <c r="AM143" s="54" t="s">
        <v>4179</v>
      </c>
      <c r="AN143" s="34" t="s">
        <v>2278</v>
      </c>
    </row>
    <row r="144" spans="2:40" x14ac:dyDescent="0.3">
      <c r="B144" s="18" t="s">
        <v>2285</v>
      </c>
      <c r="C144" s="47" t="s">
        <v>2547</v>
      </c>
      <c r="D144" s="15" t="s">
        <v>4203</v>
      </c>
      <c r="E144" s="68" t="s">
        <v>2276</v>
      </c>
      <c r="F144" s="55" t="s">
        <v>2</v>
      </c>
      <c r="G144" s="40" t="s">
        <v>2</v>
      </c>
      <c r="H144" s="71" t="s">
        <v>2745</v>
      </c>
      <c r="I144" s="67" t="s">
        <v>8</v>
      </c>
      <c r="J144" s="73" t="s">
        <v>270</v>
      </c>
      <c r="K144" s="4">
        <v>2794111</v>
      </c>
      <c r="L144" s="41">
        <v>98.322999999999993</v>
      </c>
      <c r="M144" s="4">
        <v>3932920</v>
      </c>
      <c r="N144" s="4">
        <v>4000000</v>
      </c>
      <c r="O144" s="4">
        <v>3904827</v>
      </c>
      <c r="P144" s="4">
        <v>0</v>
      </c>
      <c r="Q144" s="4">
        <v>170580</v>
      </c>
      <c r="R144" s="4">
        <v>0</v>
      </c>
      <c r="S144" s="4">
        <v>0</v>
      </c>
      <c r="T144" s="23">
        <v>0</v>
      </c>
      <c r="U144" s="23">
        <v>4.5190000000000001</v>
      </c>
      <c r="V144" s="5" t="s">
        <v>3902</v>
      </c>
      <c r="W144" s="4">
        <v>0</v>
      </c>
      <c r="X144" s="4">
        <v>0</v>
      </c>
      <c r="Y144" s="9">
        <v>42277</v>
      </c>
      <c r="Z144" s="9">
        <v>45122</v>
      </c>
      <c r="AA144" s="70" t="s">
        <v>817</v>
      </c>
      <c r="AB144" s="69" t="s">
        <v>3892</v>
      </c>
      <c r="AC144" s="5" t="s">
        <v>7</v>
      </c>
      <c r="AD144" s="2"/>
      <c r="AE144" s="6"/>
      <c r="AF144" s="23"/>
      <c r="AG144" s="6"/>
      <c r="AH144" s="5" t="s">
        <v>2</v>
      </c>
      <c r="AI144" s="5" t="s">
        <v>23</v>
      </c>
      <c r="AJ144" s="5" t="s">
        <v>1423</v>
      </c>
      <c r="AK144" s="21" t="s">
        <v>2</v>
      </c>
      <c r="AL144" s="72" t="s">
        <v>3894</v>
      </c>
      <c r="AM144" s="54" t="s">
        <v>4179</v>
      </c>
      <c r="AN144" s="34" t="s">
        <v>1923</v>
      </c>
    </row>
    <row r="145" spans="2:40" x14ac:dyDescent="0.3">
      <c r="B145" s="18" t="s">
        <v>3424</v>
      </c>
      <c r="C145" s="47" t="s">
        <v>1175</v>
      </c>
      <c r="D145" s="15" t="s">
        <v>1640</v>
      </c>
      <c r="E145" s="68" t="s">
        <v>2</v>
      </c>
      <c r="F145" s="55" t="s">
        <v>2</v>
      </c>
      <c r="G145" s="40" t="s">
        <v>2745</v>
      </c>
      <c r="H145" s="71" t="s">
        <v>2745</v>
      </c>
      <c r="I145" s="67" t="s">
        <v>2274</v>
      </c>
      <c r="J145" s="73" t="s">
        <v>270</v>
      </c>
      <c r="K145" s="4">
        <v>2500000</v>
      </c>
      <c r="L145" s="41">
        <v>76.623000000000005</v>
      </c>
      <c r="M145" s="4">
        <v>1915575</v>
      </c>
      <c r="N145" s="4">
        <v>2500000</v>
      </c>
      <c r="O145" s="4">
        <v>2500000</v>
      </c>
      <c r="P145" s="4">
        <v>0</v>
      </c>
      <c r="Q145" s="4">
        <v>0</v>
      </c>
      <c r="R145" s="4">
        <v>0</v>
      </c>
      <c r="S145" s="4">
        <v>0</v>
      </c>
      <c r="T145" s="23">
        <v>2.0979999999999999</v>
      </c>
      <c r="U145" s="23">
        <v>2.0979999999999999</v>
      </c>
      <c r="V145" s="5" t="s">
        <v>3409</v>
      </c>
      <c r="W145" s="4">
        <v>8742</v>
      </c>
      <c r="X145" s="4">
        <v>52450</v>
      </c>
      <c r="Y145" s="9">
        <v>44064</v>
      </c>
      <c r="Z145" s="9">
        <v>48700</v>
      </c>
      <c r="AA145" s="70" t="s">
        <v>2759</v>
      </c>
      <c r="AB145" s="69" t="s">
        <v>3892</v>
      </c>
      <c r="AC145" s="5" t="s">
        <v>7</v>
      </c>
      <c r="AD145" s="2"/>
      <c r="AE145" s="6"/>
      <c r="AF145" s="23"/>
      <c r="AG145" s="6"/>
      <c r="AH145" s="5" t="s">
        <v>2</v>
      </c>
      <c r="AI145" s="5" t="s">
        <v>4204</v>
      </c>
      <c r="AJ145" s="5" t="s">
        <v>1176</v>
      </c>
      <c r="AK145" s="21" t="s">
        <v>2</v>
      </c>
      <c r="AL145" s="72" t="s">
        <v>3894</v>
      </c>
      <c r="AM145" s="54" t="s">
        <v>4179</v>
      </c>
      <c r="AN145" s="34" t="s">
        <v>1408</v>
      </c>
    </row>
    <row r="146" spans="2:40" x14ac:dyDescent="0.3">
      <c r="B146" s="18" t="s">
        <v>24</v>
      </c>
      <c r="C146" s="47" t="s">
        <v>3071</v>
      </c>
      <c r="D146" s="15" t="s">
        <v>1938</v>
      </c>
      <c r="E146" s="68" t="s">
        <v>2</v>
      </c>
      <c r="F146" s="55" t="s">
        <v>2</v>
      </c>
      <c r="G146" s="40" t="s">
        <v>2</v>
      </c>
      <c r="H146" s="71" t="s">
        <v>2745</v>
      </c>
      <c r="I146" s="67" t="s">
        <v>1164</v>
      </c>
      <c r="J146" s="73" t="s">
        <v>270</v>
      </c>
      <c r="K146" s="4">
        <v>9871</v>
      </c>
      <c r="L146" s="41">
        <v>77.384</v>
      </c>
      <c r="M146" s="4">
        <v>7738</v>
      </c>
      <c r="N146" s="4">
        <v>10000</v>
      </c>
      <c r="O146" s="4">
        <v>9885</v>
      </c>
      <c r="P146" s="4">
        <v>0</v>
      </c>
      <c r="Q146" s="4">
        <v>11</v>
      </c>
      <c r="R146" s="4">
        <v>0</v>
      </c>
      <c r="S146" s="4">
        <v>0</v>
      </c>
      <c r="T146" s="23">
        <v>2.0310000000000001</v>
      </c>
      <c r="U146" s="23">
        <v>2.1680000000000001</v>
      </c>
      <c r="V146" s="5" t="s">
        <v>3409</v>
      </c>
      <c r="W146" s="4">
        <v>34</v>
      </c>
      <c r="X146" s="4">
        <v>203</v>
      </c>
      <c r="Y146" s="9">
        <v>44462</v>
      </c>
      <c r="Z146" s="9">
        <v>48335</v>
      </c>
      <c r="AA146" s="70" t="s">
        <v>1626</v>
      </c>
      <c r="AB146" s="69" t="s">
        <v>3892</v>
      </c>
      <c r="AC146" s="5" t="s">
        <v>7</v>
      </c>
      <c r="AD146" s="2"/>
      <c r="AE146" s="6"/>
      <c r="AF146" s="23"/>
      <c r="AG146" s="6"/>
      <c r="AH146" s="5" t="s">
        <v>2</v>
      </c>
      <c r="AI146" s="5" t="s">
        <v>1938</v>
      </c>
      <c r="AJ146" s="5" t="s">
        <v>2</v>
      </c>
      <c r="AK146" s="21" t="s">
        <v>2</v>
      </c>
      <c r="AL146" s="72" t="s">
        <v>3894</v>
      </c>
      <c r="AM146" s="54" t="s">
        <v>4179</v>
      </c>
      <c r="AN146" s="34" t="s">
        <v>1625</v>
      </c>
    </row>
    <row r="147" spans="2:40" x14ac:dyDescent="0.3">
      <c r="B147" s="18" t="s">
        <v>1177</v>
      </c>
      <c r="C147" s="47" t="s">
        <v>3906</v>
      </c>
      <c r="D147" s="15" t="s">
        <v>1938</v>
      </c>
      <c r="E147" s="68" t="s">
        <v>2</v>
      </c>
      <c r="F147" s="55" t="s">
        <v>2</v>
      </c>
      <c r="G147" s="40" t="s">
        <v>2</v>
      </c>
      <c r="H147" s="71" t="s">
        <v>2745</v>
      </c>
      <c r="I147" s="67" t="s">
        <v>2274</v>
      </c>
      <c r="J147" s="73" t="s">
        <v>270</v>
      </c>
      <c r="K147" s="4">
        <v>4925503</v>
      </c>
      <c r="L147" s="41">
        <v>76.313999999999993</v>
      </c>
      <c r="M147" s="4">
        <v>3808069</v>
      </c>
      <c r="N147" s="4">
        <v>4990000</v>
      </c>
      <c r="O147" s="4">
        <v>4932528</v>
      </c>
      <c r="P147" s="4">
        <v>0</v>
      </c>
      <c r="Q147" s="4">
        <v>5500</v>
      </c>
      <c r="R147" s="4">
        <v>0</v>
      </c>
      <c r="S147" s="4">
        <v>0</v>
      </c>
      <c r="T147" s="23">
        <v>2.0310000000000001</v>
      </c>
      <c r="U147" s="23">
        <v>2.1680000000000001</v>
      </c>
      <c r="V147" s="5" t="s">
        <v>3409</v>
      </c>
      <c r="W147" s="4">
        <v>16891</v>
      </c>
      <c r="X147" s="4">
        <v>101347</v>
      </c>
      <c r="Y147" s="9">
        <v>44462</v>
      </c>
      <c r="Z147" s="9">
        <v>48335</v>
      </c>
      <c r="AA147" s="70" t="s">
        <v>1626</v>
      </c>
      <c r="AB147" s="69" t="s">
        <v>3892</v>
      </c>
      <c r="AC147" s="5" t="s">
        <v>7</v>
      </c>
      <c r="AD147" s="2"/>
      <c r="AE147" s="6"/>
      <c r="AF147" s="23"/>
      <c r="AG147" s="6"/>
      <c r="AH147" s="5" t="s">
        <v>2</v>
      </c>
      <c r="AI147" s="5" t="s">
        <v>1938</v>
      </c>
      <c r="AJ147" s="5" t="s">
        <v>2</v>
      </c>
      <c r="AK147" s="21" t="s">
        <v>2</v>
      </c>
      <c r="AL147" s="72" t="s">
        <v>3894</v>
      </c>
      <c r="AM147" s="54" t="s">
        <v>4179</v>
      </c>
      <c r="AN147" s="34" t="s">
        <v>1408</v>
      </c>
    </row>
    <row r="148" spans="2:40" x14ac:dyDescent="0.3">
      <c r="B148" s="18" t="s">
        <v>3072</v>
      </c>
      <c r="C148" s="47" t="s">
        <v>3907</v>
      </c>
      <c r="D148" s="15" t="s">
        <v>3073</v>
      </c>
      <c r="E148" s="68" t="s">
        <v>2</v>
      </c>
      <c r="F148" s="55" t="s">
        <v>2</v>
      </c>
      <c r="G148" s="40" t="s">
        <v>2745</v>
      </c>
      <c r="H148" s="71" t="s">
        <v>2745</v>
      </c>
      <c r="I148" s="67" t="s">
        <v>3408</v>
      </c>
      <c r="J148" s="73" t="s">
        <v>270</v>
      </c>
      <c r="K148" s="4">
        <v>1000000</v>
      </c>
      <c r="L148" s="41">
        <v>100.887</v>
      </c>
      <c r="M148" s="4">
        <v>1008870</v>
      </c>
      <c r="N148" s="4">
        <v>1000000</v>
      </c>
      <c r="O148" s="4">
        <v>1000000</v>
      </c>
      <c r="P148" s="4">
        <v>0</v>
      </c>
      <c r="Q148" s="4">
        <v>0</v>
      </c>
      <c r="R148" s="4">
        <v>0</v>
      </c>
      <c r="S148" s="4">
        <v>0</v>
      </c>
      <c r="T148" s="23">
        <v>5.2670000000000003</v>
      </c>
      <c r="U148" s="23">
        <v>5.2670000000000003</v>
      </c>
      <c r="V148" s="5" t="s">
        <v>3409</v>
      </c>
      <c r="W148" s="4">
        <v>8778</v>
      </c>
      <c r="X148" s="4">
        <v>52670</v>
      </c>
      <c r="Y148" s="9">
        <v>42277</v>
      </c>
      <c r="Z148" s="9">
        <v>46508</v>
      </c>
      <c r="AA148" s="70" t="s">
        <v>1410</v>
      </c>
      <c r="AB148" s="69" t="s">
        <v>3892</v>
      </c>
      <c r="AC148" s="5" t="s">
        <v>7</v>
      </c>
      <c r="AD148" s="2"/>
      <c r="AE148" s="6"/>
      <c r="AF148" s="23"/>
      <c r="AG148" s="6"/>
      <c r="AH148" s="5" t="s">
        <v>2</v>
      </c>
      <c r="AI148" s="5" t="s">
        <v>3073</v>
      </c>
      <c r="AJ148" s="5" t="s">
        <v>2</v>
      </c>
      <c r="AK148" s="21" t="s">
        <v>2</v>
      </c>
      <c r="AL148" s="72" t="s">
        <v>3894</v>
      </c>
      <c r="AM148" s="54" t="s">
        <v>4179</v>
      </c>
      <c r="AN148" s="34" t="s">
        <v>2278</v>
      </c>
    </row>
    <row r="149" spans="2:40" x14ac:dyDescent="0.3">
      <c r="B149" s="18" t="s">
        <v>4205</v>
      </c>
      <c r="C149" s="47" t="s">
        <v>2760</v>
      </c>
      <c r="D149" s="15" t="s">
        <v>283</v>
      </c>
      <c r="E149" s="68" t="s">
        <v>2</v>
      </c>
      <c r="F149" s="55" t="s">
        <v>2</v>
      </c>
      <c r="G149" s="40" t="s">
        <v>2745</v>
      </c>
      <c r="H149" s="71" t="s">
        <v>2745</v>
      </c>
      <c r="I149" s="67" t="s">
        <v>3408</v>
      </c>
      <c r="J149" s="73" t="s">
        <v>270</v>
      </c>
      <c r="K149" s="4">
        <v>4800000</v>
      </c>
      <c r="L149" s="41">
        <v>99.834999999999994</v>
      </c>
      <c r="M149" s="4">
        <v>4792080</v>
      </c>
      <c r="N149" s="4">
        <v>4800000</v>
      </c>
      <c r="O149" s="4">
        <v>4800000</v>
      </c>
      <c r="P149" s="4">
        <v>0</v>
      </c>
      <c r="Q149" s="4">
        <v>0</v>
      </c>
      <c r="R149" s="4">
        <v>0</v>
      </c>
      <c r="S149" s="4">
        <v>0</v>
      </c>
      <c r="T149" s="23">
        <v>2.31</v>
      </c>
      <c r="U149" s="23">
        <v>2.31</v>
      </c>
      <c r="V149" s="5" t="s">
        <v>268</v>
      </c>
      <c r="W149" s="4">
        <v>46200</v>
      </c>
      <c r="X149" s="4">
        <v>110880</v>
      </c>
      <c r="Y149" s="9">
        <v>42473</v>
      </c>
      <c r="Z149" s="9">
        <v>44958</v>
      </c>
      <c r="AA149" s="70" t="s">
        <v>1410</v>
      </c>
      <c r="AB149" s="69" t="s">
        <v>3892</v>
      </c>
      <c r="AC149" s="5" t="s">
        <v>7</v>
      </c>
      <c r="AD149" s="2"/>
      <c r="AE149" s="6"/>
      <c r="AF149" s="23"/>
      <c r="AG149" s="6"/>
      <c r="AH149" s="5" t="s">
        <v>2</v>
      </c>
      <c r="AI149" s="5" t="s">
        <v>3073</v>
      </c>
      <c r="AJ149" s="5" t="s">
        <v>3667</v>
      </c>
      <c r="AK149" s="21" t="s">
        <v>2</v>
      </c>
      <c r="AL149" s="72" t="s">
        <v>3894</v>
      </c>
      <c r="AM149" s="54" t="s">
        <v>4179</v>
      </c>
      <c r="AN149" s="34" t="s">
        <v>2278</v>
      </c>
    </row>
    <row r="150" spans="2:40" x14ac:dyDescent="0.3">
      <c r="B150" s="18" t="s">
        <v>1178</v>
      </c>
      <c r="C150" s="47" t="s">
        <v>2761</v>
      </c>
      <c r="D150" s="15" t="s">
        <v>518</v>
      </c>
      <c r="E150" s="68" t="s">
        <v>2</v>
      </c>
      <c r="F150" s="55" t="s">
        <v>2</v>
      </c>
      <c r="G150" s="40" t="s">
        <v>2745</v>
      </c>
      <c r="H150" s="71" t="s">
        <v>2745</v>
      </c>
      <c r="I150" s="67" t="s">
        <v>8</v>
      </c>
      <c r="J150" s="73" t="s">
        <v>270</v>
      </c>
      <c r="K150" s="4">
        <v>4000000</v>
      </c>
      <c r="L150" s="41">
        <v>79.777000000000001</v>
      </c>
      <c r="M150" s="4">
        <v>3191080</v>
      </c>
      <c r="N150" s="4">
        <v>4000000</v>
      </c>
      <c r="O150" s="4">
        <v>4000000</v>
      </c>
      <c r="P150" s="4">
        <v>0</v>
      </c>
      <c r="Q150" s="4">
        <v>0</v>
      </c>
      <c r="R150" s="4">
        <v>0</v>
      </c>
      <c r="S150" s="4">
        <v>0</v>
      </c>
      <c r="T150" s="23">
        <v>2.1520000000000001</v>
      </c>
      <c r="U150" s="23">
        <v>2.1520000000000001</v>
      </c>
      <c r="V150" s="5" t="s">
        <v>10</v>
      </c>
      <c r="W150" s="4">
        <v>25346</v>
      </c>
      <c r="X150" s="4">
        <v>105687</v>
      </c>
      <c r="Y150" s="9">
        <v>44363</v>
      </c>
      <c r="Z150" s="9">
        <v>47922</v>
      </c>
      <c r="AA150" s="70" t="s">
        <v>1410</v>
      </c>
      <c r="AB150" s="69" t="s">
        <v>3892</v>
      </c>
      <c r="AC150" s="5" t="s">
        <v>7</v>
      </c>
      <c r="AD150" s="2"/>
      <c r="AE150" s="6"/>
      <c r="AF150" s="23"/>
      <c r="AG150" s="6"/>
      <c r="AH150" s="5" t="s">
        <v>3908</v>
      </c>
      <c r="AI150" s="5" t="s">
        <v>284</v>
      </c>
      <c r="AJ150" s="5" t="s">
        <v>1424</v>
      </c>
      <c r="AK150" s="21" t="s">
        <v>2</v>
      </c>
      <c r="AL150" s="72" t="s">
        <v>3894</v>
      </c>
      <c r="AM150" s="54" t="s">
        <v>4179</v>
      </c>
      <c r="AN150" s="34" t="s">
        <v>1923</v>
      </c>
    </row>
    <row r="151" spans="2:40" x14ac:dyDescent="0.3">
      <c r="B151" s="18" t="s">
        <v>2286</v>
      </c>
      <c r="C151" s="47" t="s">
        <v>2762</v>
      </c>
      <c r="D151" s="15" t="s">
        <v>518</v>
      </c>
      <c r="E151" s="68" t="s">
        <v>2</v>
      </c>
      <c r="F151" s="55" t="s">
        <v>2</v>
      </c>
      <c r="G151" s="40" t="s">
        <v>2745</v>
      </c>
      <c r="H151" s="71" t="s">
        <v>2745</v>
      </c>
      <c r="I151" s="67" t="s">
        <v>8</v>
      </c>
      <c r="J151" s="73" t="s">
        <v>270</v>
      </c>
      <c r="K151" s="4">
        <v>12750000</v>
      </c>
      <c r="L151" s="41">
        <v>78.311000000000007</v>
      </c>
      <c r="M151" s="4">
        <v>9984653</v>
      </c>
      <c r="N151" s="4">
        <v>12750000</v>
      </c>
      <c r="O151" s="4">
        <v>12750000</v>
      </c>
      <c r="P151" s="4">
        <v>0</v>
      </c>
      <c r="Q151" s="4">
        <v>0</v>
      </c>
      <c r="R151" s="4">
        <v>0</v>
      </c>
      <c r="S151" s="4">
        <v>0</v>
      </c>
      <c r="T151" s="23">
        <v>2.2519999999999998</v>
      </c>
      <c r="U151" s="23">
        <v>2.2519999999999998</v>
      </c>
      <c r="V151" s="5" t="s">
        <v>10</v>
      </c>
      <c r="W151" s="4">
        <v>84544</v>
      </c>
      <c r="X151" s="4">
        <v>352532</v>
      </c>
      <c r="Y151" s="14">
        <v>44363</v>
      </c>
      <c r="Z151" s="14">
        <v>48288</v>
      </c>
      <c r="AA151" s="70" t="s">
        <v>1410</v>
      </c>
      <c r="AB151" s="69" t="s">
        <v>3892</v>
      </c>
      <c r="AC151" s="5" t="s">
        <v>7</v>
      </c>
      <c r="AD151" s="2"/>
      <c r="AE151" s="14">
        <v>47922</v>
      </c>
      <c r="AF151" s="23">
        <v>100</v>
      </c>
      <c r="AG151" s="6"/>
      <c r="AH151" s="5" t="s">
        <v>3908</v>
      </c>
      <c r="AI151" s="5" t="s">
        <v>284</v>
      </c>
      <c r="AJ151" s="5" t="s">
        <v>1424</v>
      </c>
      <c r="AK151" s="21" t="s">
        <v>2</v>
      </c>
      <c r="AL151" s="72" t="s">
        <v>3894</v>
      </c>
      <c r="AM151" s="54" t="s">
        <v>4179</v>
      </c>
      <c r="AN151" s="34" t="s">
        <v>1923</v>
      </c>
    </row>
    <row r="152" spans="2:40" x14ac:dyDescent="0.3">
      <c r="B152" s="18" t="s">
        <v>3425</v>
      </c>
      <c r="C152" s="47" t="s">
        <v>3909</v>
      </c>
      <c r="D152" s="15" t="s">
        <v>25</v>
      </c>
      <c r="E152" s="68" t="s">
        <v>2</v>
      </c>
      <c r="F152" s="55" t="s">
        <v>2</v>
      </c>
      <c r="G152" s="40" t="s">
        <v>2</v>
      </c>
      <c r="H152" s="71" t="s">
        <v>2745</v>
      </c>
      <c r="I152" s="67" t="s">
        <v>8</v>
      </c>
      <c r="J152" s="73" t="s">
        <v>270</v>
      </c>
      <c r="K152" s="4">
        <v>6519649</v>
      </c>
      <c r="L152" s="41">
        <v>88.805000000000007</v>
      </c>
      <c r="M152" s="4">
        <v>5834489</v>
      </c>
      <c r="N152" s="4">
        <v>6570000</v>
      </c>
      <c r="O152" s="4">
        <v>6531084</v>
      </c>
      <c r="P152" s="4">
        <v>0</v>
      </c>
      <c r="Q152" s="4">
        <v>11435</v>
      </c>
      <c r="R152" s="4">
        <v>0</v>
      </c>
      <c r="S152" s="4">
        <v>0</v>
      </c>
      <c r="T152" s="23">
        <v>1.04</v>
      </c>
      <c r="U152" s="23">
        <v>1.2290000000000001</v>
      </c>
      <c r="V152" s="5" t="s">
        <v>10</v>
      </c>
      <c r="W152" s="4">
        <v>20119</v>
      </c>
      <c r="X152" s="4">
        <v>68328</v>
      </c>
      <c r="Y152" s="14">
        <v>44575</v>
      </c>
      <c r="Z152" s="14">
        <v>46096</v>
      </c>
      <c r="AA152" s="70" t="s">
        <v>1410</v>
      </c>
      <c r="AB152" s="69" t="s">
        <v>3892</v>
      </c>
      <c r="AC152" s="5" t="s">
        <v>7</v>
      </c>
      <c r="AD152" s="2"/>
      <c r="AE152" s="10"/>
      <c r="AF152" s="23"/>
      <c r="AG152" s="6"/>
      <c r="AH152" s="5" t="s">
        <v>3908</v>
      </c>
      <c r="AI152" s="5" t="s">
        <v>284</v>
      </c>
      <c r="AJ152" s="5" t="s">
        <v>2763</v>
      </c>
      <c r="AK152" s="21" t="s">
        <v>2</v>
      </c>
      <c r="AL152" s="72" t="s">
        <v>1921</v>
      </c>
      <c r="AM152" s="54" t="s">
        <v>4179</v>
      </c>
      <c r="AN152" s="34" t="s">
        <v>1923</v>
      </c>
    </row>
    <row r="153" spans="2:40" x14ac:dyDescent="0.3">
      <c r="B153" s="18" t="s">
        <v>26</v>
      </c>
      <c r="C153" s="47" t="s">
        <v>3910</v>
      </c>
      <c r="D153" s="15" t="s">
        <v>3668</v>
      </c>
      <c r="E153" s="68" t="s">
        <v>2</v>
      </c>
      <c r="F153" s="55" t="s">
        <v>2</v>
      </c>
      <c r="G153" s="40" t="s">
        <v>2745</v>
      </c>
      <c r="H153" s="71" t="s">
        <v>2745</v>
      </c>
      <c r="I153" s="67" t="s">
        <v>8</v>
      </c>
      <c r="J153" s="73" t="s">
        <v>270</v>
      </c>
      <c r="K153" s="4">
        <v>220000</v>
      </c>
      <c r="L153" s="41">
        <v>102.991</v>
      </c>
      <c r="M153" s="4">
        <v>226580</v>
      </c>
      <c r="N153" s="4">
        <v>220000</v>
      </c>
      <c r="O153" s="4">
        <v>220000</v>
      </c>
      <c r="P153" s="4">
        <v>0</v>
      </c>
      <c r="Q153" s="4">
        <v>0</v>
      </c>
      <c r="R153" s="4">
        <v>0</v>
      </c>
      <c r="S153" s="4">
        <v>0</v>
      </c>
      <c r="T153" s="23">
        <v>5.77</v>
      </c>
      <c r="U153" s="23">
        <v>5.7690000000000001</v>
      </c>
      <c r="V153" s="5" t="s">
        <v>10</v>
      </c>
      <c r="W153" s="4">
        <v>3738</v>
      </c>
      <c r="X153" s="4">
        <v>12694</v>
      </c>
      <c r="Y153" s="14">
        <v>42277</v>
      </c>
      <c r="Z153" s="14">
        <v>50844</v>
      </c>
      <c r="AA153" s="70" t="s">
        <v>1410</v>
      </c>
      <c r="AB153" s="69" t="s">
        <v>3892</v>
      </c>
      <c r="AC153" s="5" t="s">
        <v>4178</v>
      </c>
      <c r="AD153" s="2"/>
      <c r="AE153" s="6"/>
      <c r="AF153" s="23"/>
      <c r="AG153" s="6"/>
      <c r="AH153" s="5" t="s">
        <v>1641</v>
      </c>
      <c r="AI153" s="5" t="s">
        <v>3668</v>
      </c>
      <c r="AJ153" s="5" t="s">
        <v>2</v>
      </c>
      <c r="AK153" s="21" t="s">
        <v>2</v>
      </c>
      <c r="AL153" s="72" t="s">
        <v>3894</v>
      </c>
      <c r="AM153" s="54" t="s">
        <v>4179</v>
      </c>
      <c r="AN153" s="34" t="s">
        <v>1923</v>
      </c>
    </row>
    <row r="154" spans="2:40" x14ac:dyDescent="0.3">
      <c r="B154" s="18" t="s">
        <v>1179</v>
      </c>
      <c r="C154" s="47" t="s">
        <v>1180</v>
      </c>
      <c r="D154" s="15" t="s">
        <v>1939</v>
      </c>
      <c r="E154" s="68" t="s">
        <v>2</v>
      </c>
      <c r="F154" s="55" t="s">
        <v>2</v>
      </c>
      <c r="G154" s="40" t="s">
        <v>2745</v>
      </c>
      <c r="H154" s="71" t="s">
        <v>2745</v>
      </c>
      <c r="I154" s="67" t="s">
        <v>1164</v>
      </c>
      <c r="J154" s="73" t="s">
        <v>270</v>
      </c>
      <c r="K154" s="4">
        <v>10532600</v>
      </c>
      <c r="L154" s="41">
        <v>77.001000000000005</v>
      </c>
      <c r="M154" s="4">
        <v>7700100</v>
      </c>
      <c r="N154" s="4">
        <v>10000000</v>
      </c>
      <c r="O154" s="4">
        <v>10481268</v>
      </c>
      <c r="P154" s="4">
        <v>0</v>
      </c>
      <c r="Q154" s="4">
        <v>-29062</v>
      </c>
      <c r="R154" s="4">
        <v>0</v>
      </c>
      <c r="S154" s="4">
        <v>0</v>
      </c>
      <c r="T154" s="23">
        <v>2.9870000000000001</v>
      </c>
      <c r="U154" s="23">
        <v>2.5670000000000002</v>
      </c>
      <c r="V154" s="5" t="s">
        <v>10</v>
      </c>
      <c r="W154" s="4">
        <v>99567</v>
      </c>
      <c r="X154" s="4">
        <v>298700</v>
      </c>
      <c r="Y154" s="14">
        <v>44271</v>
      </c>
      <c r="Z154" s="14">
        <v>49919</v>
      </c>
      <c r="AA154" s="70" t="s">
        <v>1165</v>
      </c>
      <c r="AB154" s="69" t="s">
        <v>3892</v>
      </c>
      <c r="AC154" s="5" t="s">
        <v>7</v>
      </c>
      <c r="AD154" s="2"/>
      <c r="AE154" s="10"/>
      <c r="AF154" s="23"/>
      <c r="AG154" s="6"/>
      <c r="AH154" s="5" t="s">
        <v>2</v>
      </c>
      <c r="AI154" s="5" t="s">
        <v>818</v>
      </c>
      <c r="AJ154" s="5" t="s">
        <v>27</v>
      </c>
      <c r="AK154" s="21" t="s">
        <v>2</v>
      </c>
      <c r="AL154" s="72" t="s">
        <v>3894</v>
      </c>
      <c r="AM154" s="54" t="s">
        <v>4179</v>
      </c>
      <c r="AN154" s="34" t="s">
        <v>1625</v>
      </c>
    </row>
    <row r="155" spans="2:40" x14ac:dyDescent="0.3">
      <c r="B155" s="18" t="s">
        <v>2287</v>
      </c>
      <c r="C155" s="47" t="s">
        <v>2548</v>
      </c>
      <c r="D155" s="15" t="s">
        <v>3074</v>
      </c>
      <c r="E155" s="68" t="s">
        <v>2</v>
      </c>
      <c r="F155" s="55" t="s">
        <v>2</v>
      </c>
      <c r="G155" s="40" t="s">
        <v>2745</v>
      </c>
      <c r="H155" s="71" t="s">
        <v>2745</v>
      </c>
      <c r="I155" s="67" t="s">
        <v>1164</v>
      </c>
      <c r="J155" s="73" t="s">
        <v>270</v>
      </c>
      <c r="K155" s="4">
        <v>1750000</v>
      </c>
      <c r="L155" s="41">
        <v>88.242000000000004</v>
      </c>
      <c r="M155" s="4">
        <v>1544235</v>
      </c>
      <c r="N155" s="4">
        <v>1750000</v>
      </c>
      <c r="O155" s="4">
        <v>1750000</v>
      </c>
      <c r="P155" s="4">
        <v>0</v>
      </c>
      <c r="Q155" s="4">
        <v>0</v>
      </c>
      <c r="R155" s="4">
        <v>0</v>
      </c>
      <c r="S155" s="4">
        <v>0</v>
      </c>
      <c r="T155" s="23">
        <v>1.3109999999999999</v>
      </c>
      <c r="U155" s="23">
        <v>1.3109999999999999</v>
      </c>
      <c r="V155" s="5" t="s">
        <v>3898</v>
      </c>
      <c r="W155" s="4">
        <v>1912</v>
      </c>
      <c r="X155" s="4">
        <v>22943</v>
      </c>
      <c r="Y155" s="14">
        <v>44085</v>
      </c>
      <c r="Z155" s="14">
        <v>46174</v>
      </c>
      <c r="AA155" s="70" t="s">
        <v>3654</v>
      </c>
      <c r="AB155" s="69" t="s">
        <v>3892</v>
      </c>
      <c r="AC155" s="5" t="s">
        <v>7</v>
      </c>
      <c r="AD155" s="2"/>
      <c r="AE155" s="10"/>
      <c r="AF155" s="23"/>
      <c r="AG155" s="10"/>
      <c r="AH155" s="5" t="s">
        <v>2</v>
      </c>
      <c r="AI155" s="5" t="s">
        <v>2549</v>
      </c>
      <c r="AJ155" s="5" t="s">
        <v>519</v>
      </c>
      <c r="AK155" s="21" t="s">
        <v>2</v>
      </c>
      <c r="AL155" s="72" t="s">
        <v>3894</v>
      </c>
      <c r="AM155" s="54" t="s">
        <v>4179</v>
      </c>
      <c r="AN155" s="34" t="s">
        <v>1625</v>
      </c>
    </row>
    <row r="156" spans="2:40" x14ac:dyDescent="0.3">
      <c r="B156" s="18" t="s">
        <v>3426</v>
      </c>
      <c r="C156" s="47" t="s">
        <v>2550</v>
      </c>
      <c r="D156" s="15" t="s">
        <v>3074</v>
      </c>
      <c r="E156" s="68" t="s">
        <v>2</v>
      </c>
      <c r="F156" s="55" t="s">
        <v>2</v>
      </c>
      <c r="G156" s="40" t="s">
        <v>2745</v>
      </c>
      <c r="H156" s="71" t="s">
        <v>2745</v>
      </c>
      <c r="I156" s="67" t="s">
        <v>1164</v>
      </c>
      <c r="J156" s="73" t="s">
        <v>270</v>
      </c>
      <c r="K156" s="4">
        <v>2720000</v>
      </c>
      <c r="L156" s="41">
        <v>85.561000000000007</v>
      </c>
      <c r="M156" s="4">
        <v>2327259</v>
      </c>
      <c r="N156" s="4">
        <v>2720000</v>
      </c>
      <c r="O156" s="4">
        <v>2720000</v>
      </c>
      <c r="P156" s="4">
        <v>0</v>
      </c>
      <c r="Q156" s="4">
        <v>0</v>
      </c>
      <c r="R156" s="4">
        <v>0</v>
      </c>
      <c r="S156" s="4">
        <v>0</v>
      </c>
      <c r="T156" s="23">
        <v>1.4610000000000001</v>
      </c>
      <c r="U156" s="23">
        <v>1.4610000000000001</v>
      </c>
      <c r="V156" s="5" t="s">
        <v>3898</v>
      </c>
      <c r="W156" s="4">
        <v>3312</v>
      </c>
      <c r="X156" s="4">
        <v>39739</v>
      </c>
      <c r="Y156" s="14">
        <v>44085</v>
      </c>
      <c r="Z156" s="14">
        <v>46539</v>
      </c>
      <c r="AA156" s="70" t="s">
        <v>3654</v>
      </c>
      <c r="AB156" s="69" t="s">
        <v>3892</v>
      </c>
      <c r="AC156" s="5" t="s">
        <v>7</v>
      </c>
      <c r="AD156" s="2"/>
      <c r="AE156" s="10"/>
      <c r="AF156" s="23"/>
      <c r="AG156" s="6"/>
      <c r="AH156" s="5" t="s">
        <v>2</v>
      </c>
      <c r="AI156" s="5" t="s">
        <v>2549</v>
      </c>
      <c r="AJ156" s="5" t="s">
        <v>519</v>
      </c>
      <c r="AK156" s="21" t="s">
        <v>2</v>
      </c>
      <c r="AL156" s="72" t="s">
        <v>3894</v>
      </c>
      <c r="AM156" s="54" t="s">
        <v>4179</v>
      </c>
      <c r="AN156" s="34" t="s">
        <v>1625</v>
      </c>
    </row>
    <row r="157" spans="2:40" x14ac:dyDescent="0.3">
      <c r="B157" s="18" t="s">
        <v>28</v>
      </c>
      <c r="C157" s="47" t="s">
        <v>2551</v>
      </c>
      <c r="D157" s="15" t="s">
        <v>3074</v>
      </c>
      <c r="E157" s="68" t="s">
        <v>2</v>
      </c>
      <c r="F157" s="55" t="s">
        <v>2</v>
      </c>
      <c r="G157" s="40" t="s">
        <v>2745</v>
      </c>
      <c r="H157" s="71" t="s">
        <v>2745</v>
      </c>
      <c r="I157" s="67" t="s">
        <v>1164</v>
      </c>
      <c r="J157" s="73" t="s">
        <v>270</v>
      </c>
      <c r="K157" s="4">
        <v>1545000</v>
      </c>
      <c r="L157" s="41">
        <v>83.697999999999993</v>
      </c>
      <c r="M157" s="4">
        <v>1293134</v>
      </c>
      <c r="N157" s="4">
        <v>1545000</v>
      </c>
      <c r="O157" s="4">
        <v>1545000</v>
      </c>
      <c r="P157" s="4">
        <v>0</v>
      </c>
      <c r="Q157" s="4">
        <v>0</v>
      </c>
      <c r="R157" s="4">
        <v>0</v>
      </c>
      <c r="S157" s="4">
        <v>0</v>
      </c>
      <c r="T157" s="23">
        <v>1.712</v>
      </c>
      <c r="U157" s="23">
        <v>1.712</v>
      </c>
      <c r="V157" s="5" t="s">
        <v>3898</v>
      </c>
      <c r="W157" s="4">
        <v>2204</v>
      </c>
      <c r="X157" s="4">
        <v>26450</v>
      </c>
      <c r="Y157" s="14">
        <v>44085</v>
      </c>
      <c r="Z157" s="14">
        <v>46905</v>
      </c>
      <c r="AA157" s="70" t="s">
        <v>3654</v>
      </c>
      <c r="AB157" s="69" t="s">
        <v>3892</v>
      </c>
      <c r="AC157" s="5" t="s">
        <v>7</v>
      </c>
      <c r="AD157" s="2"/>
      <c r="AE157" s="10"/>
      <c r="AF157" s="23"/>
      <c r="AG157" s="6"/>
      <c r="AH157" s="5" t="s">
        <v>2</v>
      </c>
      <c r="AI157" s="5" t="s">
        <v>2549</v>
      </c>
      <c r="AJ157" s="5" t="s">
        <v>519</v>
      </c>
      <c r="AK157" s="21" t="s">
        <v>2</v>
      </c>
      <c r="AL157" s="72" t="s">
        <v>3894</v>
      </c>
      <c r="AM157" s="54" t="s">
        <v>4179</v>
      </c>
      <c r="AN157" s="34" t="s">
        <v>1625</v>
      </c>
    </row>
    <row r="158" spans="2:40" x14ac:dyDescent="0.3">
      <c r="B158" s="18" t="s">
        <v>1940</v>
      </c>
      <c r="C158" s="47" t="s">
        <v>285</v>
      </c>
      <c r="D158" s="15" t="s">
        <v>3074</v>
      </c>
      <c r="E158" s="68" t="s">
        <v>2</v>
      </c>
      <c r="F158" s="55" t="s">
        <v>2</v>
      </c>
      <c r="G158" s="40" t="s">
        <v>2745</v>
      </c>
      <c r="H158" s="71" t="s">
        <v>2745</v>
      </c>
      <c r="I158" s="67" t="s">
        <v>1164</v>
      </c>
      <c r="J158" s="73" t="s">
        <v>270</v>
      </c>
      <c r="K158" s="4">
        <v>2000000</v>
      </c>
      <c r="L158" s="41">
        <v>81.494</v>
      </c>
      <c r="M158" s="4">
        <v>1629880</v>
      </c>
      <c r="N158" s="4">
        <v>2000000</v>
      </c>
      <c r="O158" s="4">
        <v>2000000</v>
      </c>
      <c r="P158" s="4">
        <v>0</v>
      </c>
      <c r="Q158" s="4">
        <v>0</v>
      </c>
      <c r="R158" s="4">
        <v>0</v>
      </c>
      <c r="S158" s="4">
        <v>0</v>
      </c>
      <c r="T158" s="23">
        <v>1.8120000000000001</v>
      </c>
      <c r="U158" s="23">
        <v>1.8120000000000001</v>
      </c>
      <c r="V158" s="5" t="s">
        <v>3898</v>
      </c>
      <c r="W158" s="4">
        <v>3020</v>
      </c>
      <c r="X158" s="4">
        <v>36240</v>
      </c>
      <c r="Y158" s="14">
        <v>44085</v>
      </c>
      <c r="Z158" s="14">
        <v>47270</v>
      </c>
      <c r="AA158" s="70" t="s">
        <v>3654</v>
      </c>
      <c r="AB158" s="69" t="s">
        <v>3892</v>
      </c>
      <c r="AC158" s="5" t="s">
        <v>7</v>
      </c>
      <c r="AD158" s="2"/>
      <c r="AE158" s="10"/>
      <c r="AF158" s="23"/>
      <c r="AG158" s="6"/>
      <c r="AH158" s="5" t="s">
        <v>2</v>
      </c>
      <c r="AI158" s="5" t="s">
        <v>2549</v>
      </c>
      <c r="AJ158" s="5" t="s">
        <v>519</v>
      </c>
      <c r="AK158" s="21" t="s">
        <v>2</v>
      </c>
      <c r="AL158" s="72" t="s">
        <v>3894</v>
      </c>
      <c r="AM158" s="54" t="s">
        <v>4179</v>
      </c>
      <c r="AN158" s="34" t="s">
        <v>1625</v>
      </c>
    </row>
    <row r="159" spans="2:40" x14ac:dyDescent="0.3">
      <c r="B159" s="18" t="s">
        <v>3427</v>
      </c>
      <c r="C159" s="47" t="s">
        <v>3669</v>
      </c>
      <c r="D159" s="15" t="s">
        <v>3074</v>
      </c>
      <c r="E159" s="68" t="s">
        <v>2</v>
      </c>
      <c r="F159" s="55" t="s">
        <v>2</v>
      </c>
      <c r="G159" s="40" t="s">
        <v>2745</v>
      </c>
      <c r="H159" s="71" t="s">
        <v>2745</v>
      </c>
      <c r="I159" s="67" t="s">
        <v>1164</v>
      </c>
      <c r="J159" s="73" t="s">
        <v>270</v>
      </c>
      <c r="K159" s="4">
        <v>2000000</v>
      </c>
      <c r="L159" s="41">
        <v>79.236999999999995</v>
      </c>
      <c r="M159" s="4">
        <v>1584740</v>
      </c>
      <c r="N159" s="4">
        <v>2000000</v>
      </c>
      <c r="O159" s="4">
        <v>2000000</v>
      </c>
      <c r="P159" s="4">
        <v>0</v>
      </c>
      <c r="Q159" s="4">
        <v>0</v>
      </c>
      <c r="R159" s="4">
        <v>0</v>
      </c>
      <c r="S159" s="4">
        <v>0</v>
      </c>
      <c r="T159" s="23">
        <v>1.8620000000000001</v>
      </c>
      <c r="U159" s="23">
        <v>1.8620000000000001</v>
      </c>
      <c r="V159" s="5" t="s">
        <v>3898</v>
      </c>
      <c r="W159" s="4">
        <v>3103</v>
      </c>
      <c r="X159" s="4">
        <v>37240</v>
      </c>
      <c r="Y159" s="14">
        <v>44085</v>
      </c>
      <c r="Z159" s="14">
        <v>47635</v>
      </c>
      <c r="AA159" s="70" t="s">
        <v>3654</v>
      </c>
      <c r="AB159" s="69" t="s">
        <v>3892</v>
      </c>
      <c r="AC159" s="5" t="s">
        <v>7</v>
      </c>
      <c r="AD159" s="2"/>
      <c r="AE159" s="10"/>
      <c r="AF159" s="23"/>
      <c r="AG159" s="6"/>
      <c r="AH159" s="5" t="s">
        <v>2</v>
      </c>
      <c r="AI159" s="5" t="s">
        <v>2549</v>
      </c>
      <c r="AJ159" s="5" t="s">
        <v>519</v>
      </c>
      <c r="AK159" s="21" t="s">
        <v>2</v>
      </c>
      <c r="AL159" s="72" t="s">
        <v>3894</v>
      </c>
      <c r="AM159" s="54" t="s">
        <v>4179</v>
      </c>
      <c r="AN159" s="34" t="s">
        <v>1625</v>
      </c>
    </row>
    <row r="160" spans="2:40" x14ac:dyDescent="0.3">
      <c r="B160" s="18" t="s">
        <v>29</v>
      </c>
      <c r="C160" s="47" t="s">
        <v>3670</v>
      </c>
      <c r="D160" s="15" t="s">
        <v>3074</v>
      </c>
      <c r="E160" s="68" t="s">
        <v>2</v>
      </c>
      <c r="F160" s="55" t="s">
        <v>2</v>
      </c>
      <c r="G160" s="40" t="s">
        <v>2745</v>
      </c>
      <c r="H160" s="71" t="s">
        <v>2745</v>
      </c>
      <c r="I160" s="67" t="s">
        <v>1164</v>
      </c>
      <c r="J160" s="73" t="s">
        <v>270</v>
      </c>
      <c r="K160" s="4">
        <v>3500000</v>
      </c>
      <c r="L160" s="41">
        <v>78.626000000000005</v>
      </c>
      <c r="M160" s="4">
        <v>2751910</v>
      </c>
      <c r="N160" s="4">
        <v>3500000</v>
      </c>
      <c r="O160" s="4">
        <v>3500000</v>
      </c>
      <c r="P160" s="4">
        <v>0</v>
      </c>
      <c r="Q160" s="4">
        <v>0</v>
      </c>
      <c r="R160" s="4">
        <v>0</v>
      </c>
      <c r="S160" s="4">
        <v>0</v>
      </c>
      <c r="T160" s="23">
        <v>2.1320000000000001</v>
      </c>
      <c r="U160" s="23">
        <v>2.1320000000000001</v>
      </c>
      <c r="V160" s="5" t="s">
        <v>3898</v>
      </c>
      <c r="W160" s="4">
        <v>6218</v>
      </c>
      <c r="X160" s="4">
        <v>74620</v>
      </c>
      <c r="Y160" s="14">
        <v>44085</v>
      </c>
      <c r="Z160" s="14">
        <v>48000</v>
      </c>
      <c r="AA160" s="70" t="s">
        <v>3654</v>
      </c>
      <c r="AB160" s="69" t="s">
        <v>3892</v>
      </c>
      <c r="AC160" s="5" t="s">
        <v>7</v>
      </c>
      <c r="AD160" s="2"/>
      <c r="AE160" s="14">
        <v>47635</v>
      </c>
      <c r="AF160" s="23">
        <v>100</v>
      </c>
      <c r="AG160" s="6"/>
      <c r="AH160" s="5" t="s">
        <v>2</v>
      </c>
      <c r="AI160" s="5" t="s">
        <v>2549</v>
      </c>
      <c r="AJ160" s="5" t="s">
        <v>519</v>
      </c>
      <c r="AK160" s="21" t="s">
        <v>2</v>
      </c>
      <c r="AL160" s="72" t="s">
        <v>3894</v>
      </c>
      <c r="AM160" s="54" t="s">
        <v>4179</v>
      </c>
      <c r="AN160" s="34" t="s">
        <v>1625</v>
      </c>
    </row>
    <row r="161" spans="2:40" x14ac:dyDescent="0.3">
      <c r="B161" s="18" t="s">
        <v>1181</v>
      </c>
      <c r="C161" s="47" t="s">
        <v>3671</v>
      </c>
      <c r="D161" s="15" t="s">
        <v>3074</v>
      </c>
      <c r="E161" s="68" t="s">
        <v>2</v>
      </c>
      <c r="F161" s="55" t="s">
        <v>2</v>
      </c>
      <c r="G161" s="40" t="s">
        <v>2745</v>
      </c>
      <c r="H161" s="71" t="s">
        <v>2745</v>
      </c>
      <c r="I161" s="67" t="s">
        <v>1164</v>
      </c>
      <c r="J161" s="73" t="s">
        <v>270</v>
      </c>
      <c r="K161" s="4">
        <v>5000000</v>
      </c>
      <c r="L161" s="41">
        <v>77.555000000000007</v>
      </c>
      <c r="M161" s="4">
        <v>3877750</v>
      </c>
      <c r="N161" s="4">
        <v>5000000</v>
      </c>
      <c r="O161" s="4">
        <v>5000000</v>
      </c>
      <c r="P161" s="4">
        <v>0</v>
      </c>
      <c r="Q161" s="4">
        <v>0</v>
      </c>
      <c r="R161" s="4">
        <v>0</v>
      </c>
      <c r="S161" s="4">
        <v>0</v>
      </c>
      <c r="T161" s="23">
        <v>2.282</v>
      </c>
      <c r="U161" s="23">
        <v>2.282</v>
      </c>
      <c r="V161" s="5" t="s">
        <v>3898</v>
      </c>
      <c r="W161" s="4">
        <v>9508</v>
      </c>
      <c r="X161" s="4">
        <v>114100</v>
      </c>
      <c r="Y161" s="14">
        <v>44085</v>
      </c>
      <c r="Z161" s="14">
        <v>48366</v>
      </c>
      <c r="AA161" s="70" t="s">
        <v>3654</v>
      </c>
      <c r="AB161" s="69" t="s">
        <v>3892</v>
      </c>
      <c r="AC161" s="5" t="s">
        <v>7</v>
      </c>
      <c r="AD161" s="2"/>
      <c r="AE161" s="14">
        <v>47635</v>
      </c>
      <c r="AF161" s="23">
        <v>100</v>
      </c>
      <c r="AG161" s="6"/>
      <c r="AH161" s="5" t="s">
        <v>2</v>
      </c>
      <c r="AI161" s="5" t="s">
        <v>2549</v>
      </c>
      <c r="AJ161" s="5" t="s">
        <v>519</v>
      </c>
      <c r="AK161" s="21" t="s">
        <v>2</v>
      </c>
      <c r="AL161" s="72" t="s">
        <v>3894</v>
      </c>
      <c r="AM161" s="54" t="s">
        <v>4179</v>
      </c>
      <c r="AN161" s="34" t="s">
        <v>1625</v>
      </c>
    </row>
    <row r="162" spans="2:40" x14ac:dyDescent="0.3">
      <c r="B162" s="18" t="s">
        <v>2288</v>
      </c>
      <c r="C162" s="47" t="s">
        <v>4206</v>
      </c>
      <c r="D162" s="15" t="s">
        <v>1642</v>
      </c>
      <c r="E162" s="68" t="s">
        <v>2</v>
      </c>
      <c r="F162" s="55" t="s">
        <v>2</v>
      </c>
      <c r="G162" s="40" t="s">
        <v>2745</v>
      </c>
      <c r="H162" s="71" t="s">
        <v>2745</v>
      </c>
      <c r="I162" s="67" t="s">
        <v>1164</v>
      </c>
      <c r="J162" s="73" t="s">
        <v>270</v>
      </c>
      <c r="K162" s="4">
        <v>10000000</v>
      </c>
      <c r="L162" s="41">
        <v>81.241</v>
      </c>
      <c r="M162" s="4">
        <v>8124100</v>
      </c>
      <c r="N162" s="4">
        <v>10000000</v>
      </c>
      <c r="O162" s="4">
        <v>10000000</v>
      </c>
      <c r="P162" s="4">
        <v>0</v>
      </c>
      <c r="Q162" s="4">
        <v>0</v>
      </c>
      <c r="R162" s="4">
        <v>0</v>
      </c>
      <c r="S162" s="4">
        <v>0</v>
      </c>
      <c r="T162" s="23">
        <v>1.208</v>
      </c>
      <c r="U162" s="23">
        <v>1.208</v>
      </c>
      <c r="V162" s="5" t="s">
        <v>3895</v>
      </c>
      <c r="W162" s="4">
        <v>30200</v>
      </c>
      <c r="X162" s="4">
        <v>120800</v>
      </c>
      <c r="Y162" s="14">
        <v>44231</v>
      </c>
      <c r="Z162" s="14">
        <v>46661</v>
      </c>
      <c r="AA162" s="70" t="s">
        <v>30</v>
      </c>
      <c r="AB162" s="69" t="s">
        <v>3892</v>
      </c>
      <c r="AC162" s="5" t="s">
        <v>7</v>
      </c>
      <c r="AD162" s="2"/>
      <c r="AE162" s="14">
        <v>46478</v>
      </c>
      <c r="AF162" s="23">
        <v>100</v>
      </c>
      <c r="AG162" s="6"/>
      <c r="AH162" s="5" t="s">
        <v>2</v>
      </c>
      <c r="AI162" s="5" t="s">
        <v>3672</v>
      </c>
      <c r="AJ162" s="5" t="s">
        <v>2764</v>
      </c>
      <c r="AK162" s="21" t="s">
        <v>2</v>
      </c>
      <c r="AL162" s="72" t="s">
        <v>3894</v>
      </c>
      <c r="AM162" s="54" t="s">
        <v>4179</v>
      </c>
      <c r="AN162" s="34" t="s">
        <v>1625</v>
      </c>
    </row>
    <row r="163" spans="2:40" x14ac:dyDescent="0.3">
      <c r="B163" s="18" t="s">
        <v>3428</v>
      </c>
      <c r="C163" s="47" t="s">
        <v>2289</v>
      </c>
      <c r="D163" s="15" t="s">
        <v>1643</v>
      </c>
      <c r="E163" s="68" t="s">
        <v>2</v>
      </c>
      <c r="F163" s="55" t="s">
        <v>2</v>
      </c>
      <c r="G163" s="40" t="s">
        <v>2745</v>
      </c>
      <c r="H163" s="71" t="s">
        <v>2745</v>
      </c>
      <c r="I163" s="67" t="s">
        <v>3408</v>
      </c>
      <c r="J163" s="73" t="s">
        <v>270</v>
      </c>
      <c r="K163" s="4">
        <v>1810500</v>
      </c>
      <c r="L163" s="41">
        <v>85.76</v>
      </c>
      <c r="M163" s="4">
        <v>1543680</v>
      </c>
      <c r="N163" s="4">
        <v>1800000</v>
      </c>
      <c r="O163" s="4">
        <v>1806925</v>
      </c>
      <c r="P163" s="4">
        <v>0</v>
      </c>
      <c r="Q163" s="4">
        <v>-1424</v>
      </c>
      <c r="R163" s="4">
        <v>0</v>
      </c>
      <c r="S163" s="4">
        <v>0</v>
      </c>
      <c r="T163" s="23">
        <v>1.6140000000000001</v>
      </c>
      <c r="U163" s="23">
        <v>1.528</v>
      </c>
      <c r="V163" s="5" t="s">
        <v>10</v>
      </c>
      <c r="W163" s="4">
        <v>9684</v>
      </c>
      <c r="X163" s="4">
        <v>29052</v>
      </c>
      <c r="Y163" s="14">
        <v>43999</v>
      </c>
      <c r="Z163" s="14">
        <v>46631</v>
      </c>
      <c r="AA163" s="70" t="s">
        <v>286</v>
      </c>
      <c r="AB163" s="69" t="s">
        <v>3892</v>
      </c>
      <c r="AC163" s="5" t="s">
        <v>7</v>
      </c>
      <c r="AD163" s="2"/>
      <c r="AE163" s="10"/>
      <c r="AF163" s="23"/>
      <c r="AG163" s="6"/>
      <c r="AH163" s="5" t="s">
        <v>4207</v>
      </c>
      <c r="AI163" s="5" t="s">
        <v>1643</v>
      </c>
      <c r="AJ163" s="5" t="s">
        <v>2</v>
      </c>
      <c r="AK163" s="21" t="s">
        <v>2</v>
      </c>
      <c r="AL163" s="72" t="s">
        <v>3894</v>
      </c>
      <c r="AM163" s="54" t="s">
        <v>4179</v>
      </c>
      <c r="AN163" s="34" t="s">
        <v>2278</v>
      </c>
    </row>
    <row r="164" spans="2:40" x14ac:dyDescent="0.3">
      <c r="B164" s="18" t="s">
        <v>31</v>
      </c>
      <c r="C164" s="47" t="s">
        <v>2290</v>
      </c>
      <c r="D164" s="15" t="s">
        <v>1643</v>
      </c>
      <c r="E164" s="68" t="s">
        <v>2</v>
      </c>
      <c r="F164" s="55" t="s">
        <v>2</v>
      </c>
      <c r="G164" s="40" t="s">
        <v>2745</v>
      </c>
      <c r="H164" s="71" t="s">
        <v>2745</v>
      </c>
      <c r="I164" s="67" t="s">
        <v>3408</v>
      </c>
      <c r="J164" s="73" t="s">
        <v>270</v>
      </c>
      <c r="K164" s="4">
        <v>1000000</v>
      </c>
      <c r="L164" s="41">
        <v>83.692999999999998</v>
      </c>
      <c r="M164" s="4">
        <v>836930</v>
      </c>
      <c r="N164" s="4">
        <v>1000000</v>
      </c>
      <c r="O164" s="4">
        <v>1000000</v>
      </c>
      <c r="P164" s="4">
        <v>0</v>
      </c>
      <c r="Q164" s="4">
        <v>0</v>
      </c>
      <c r="R164" s="4">
        <v>0</v>
      </c>
      <c r="S164" s="4">
        <v>0</v>
      </c>
      <c r="T164" s="23">
        <v>1.7669999999999999</v>
      </c>
      <c r="U164" s="23">
        <v>1.7669999999999999</v>
      </c>
      <c r="V164" s="5" t="s">
        <v>10</v>
      </c>
      <c r="W164" s="4">
        <v>5890</v>
      </c>
      <c r="X164" s="4">
        <v>17670</v>
      </c>
      <c r="Y164" s="14">
        <v>43993</v>
      </c>
      <c r="Z164" s="14">
        <v>46997</v>
      </c>
      <c r="AA164" s="70" t="s">
        <v>286</v>
      </c>
      <c r="AB164" s="69" t="s">
        <v>3892</v>
      </c>
      <c r="AC164" s="5" t="s">
        <v>7</v>
      </c>
      <c r="AD164" s="2"/>
      <c r="AE164" s="10"/>
      <c r="AF164" s="23"/>
      <c r="AG164" s="6"/>
      <c r="AH164" s="5" t="s">
        <v>4207</v>
      </c>
      <c r="AI164" s="5" t="s">
        <v>1643</v>
      </c>
      <c r="AJ164" s="5" t="s">
        <v>2</v>
      </c>
      <c r="AK164" s="21" t="s">
        <v>2</v>
      </c>
      <c r="AL164" s="72" t="s">
        <v>3894</v>
      </c>
      <c r="AM164" s="54" t="s">
        <v>4179</v>
      </c>
      <c r="AN164" s="34" t="s">
        <v>2278</v>
      </c>
    </row>
    <row r="165" spans="2:40" x14ac:dyDescent="0.3">
      <c r="B165" s="18" t="s">
        <v>1182</v>
      </c>
      <c r="C165" s="47" t="s">
        <v>1183</v>
      </c>
      <c r="D165" s="15" t="s">
        <v>520</v>
      </c>
      <c r="E165" s="68" t="s">
        <v>2</v>
      </c>
      <c r="F165" s="55" t="s">
        <v>2</v>
      </c>
      <c r="G165" s="40" t="s">
        <v>2745</v>
      </c>
      <c r="H165" s="71" t="s">
        <v>2745</v>
      </c>
      <c r="I165" s="67" t="s">
        <v>287</v>
      </c>
      <c r="J165" s="73" t="s">
        <v>270</v>
      </c>
      <c r="K165" s="4">
        <v>1500000</v>
      </c>
      <c r="L165" s="41">
        <v>82.847999999999999</v>
      </c>
      <c r="M165" s="4">
        <v>1242720</v>
      </c>
      <c r="N165" s="4">
        <v>1500000</v>
      </c>
      <c r="O165" s="4">
        <v>1500000</v>
      </c>
      <c r="P165" s="4">
        <v>0</v>
      </c>
      <c r="Q165" s="4">
        <v>0</v>
      </c>
      <c r="R165" s="4">
        <v>0</v>
      </c>
      <c r="S165" s="4">
        <v>0</v>
      </c>
      <c r="T165" s="23">
        <v>1.792</v>
      </c>
      <c r="U165" s="23">
        <v>1.792</v>
      </c>
      <c r="V165" s="5" t="s">
        <v>1916</v>
      </c>
      <c r="W165" s="4">
        <v>13440</v>
      </c>
      <c r="X165" s="4">
        <v>26880</v>
      </c>
      <c r="Y165" s="14">
        <v>44070</v>
      </c>
      <c r="Z165" s="14">
        <v>46935</v>
      </c>
      <c r="AA165" s="70" t="s">
        <v>3911</v>
      </c>
      <c r="AB165" s="69" t="s">
        <v>3892</v>
      </c>
      <c r="AC165" s="5" t="s">
        <v>7</v>
      </c>
      <c r="AD165" s="2"/>
      <c r="AE165" s="10"/>
      <c r="AF165" s="23"/>
      <c r="AG165" s="6"/>
      <c r="AH165" s="5" t="s">
        <v>2</v>
      </c>
      <c r="AI165" s="5" t="s">
        <v>2552</v>
      </c>
      <c r="AJ165" s="5" t="s">
        <v>2552</v>
      </c>
      <c r="AK165" s="21" t="s">
        <v>2</v>
      </c>
      <c r="AL165" s="72" t="s">
        <v>3894</v>
      </c>
      <c r="AM165" s="54" t="s">
        <v>4179</v>
      </c>
      <c r="AN165" s="34" t="s">
        <v>819</v>
      </c>
    </row>
    <row r="166" spans="2:40" x14ac:dyDescent="0.3">
      <c r="B166" s="18" t="s">
        <v>2291</v>
      </c>
      <c r="C166" s="47" t="s">
        <v>3429</v>
      </c>
      <c r="D166" s="15" t="s">
        <v>520</v>
      </c>
      <c r="E166" s="68" t="s">
        <v>2</v>
      </c>
      <c r="F166" s="55" t="s">
        <v>2</v>
      </c>
      <c r="G166" s="40" t="s">
        <v>2745</v>
      </c>
      <c r="H166" s="71" t="s">
        <v>2745</v>
      </c>
      <c r="I166" s="67" t="s">
        <v>287</v>
      </c>
      <c r="J166" s="73" t="s">
        <v>270</v>
      </c>
      <c r="K166" s="4">
        <v>1615000</v>
      </c>
      <c r="L166" s="41">
        <v>80.531000000000006</v>
      </c>
      <c r="M166" s="4">
        <v>1300576</v>
      </c>
      <c r="N166" s="4">
        <v>1615000</v>
      </c>
      <c r="O166" s="4">
        <v>1615000</v>
      </c>
      <c r="P166" s="4">
        <v>0</v>
      </c>
      <c r="Q166" s="4">
        <v>0</v>
      </c>
      <c r="R166" s="4">
        <v>0</v>
      </c>
      <c r="S166" s="4">
        <v>0</v>
      </c>
      <c r="T166" s="23">
        <v>1.8919999999999999</v>
      </c>
      <c r="U166" s="23">
        <v>1.8919999999999999</v>
      </c>
      <c r="V166" s="5" t="s">
        <v>1916</v>
      </c>
      <c r="W166" s="4">
        <v>15278</v>
      </c>
      <c r="X166" s="4">
        <v>30556</v>
      </c>
      <c r="Y166" s="14">
        <v>44070</v>
      </c>
      <c r="Z166" s="14">
        <v>47300</v>
      </c>
      <c r="AA166" s="70" t="s">
        <v>3911</v>
      </c>
      <c r="AB166" s="69" t="s">
        <v>3892</v>
      </c>
      <c r="AC166" s="5" t="s">
        <v>7</v>
      </c>
      <c r="AD166" s="2"/>
      <c r="AE166" s="10"/>
      <c r="AF166" s="23"/>
      <c r="AG166" s="6"/>
      <c r="AH166" s="5" t="s">
        <v>2</v>
      </c>
      <c r="AI166" s="5" t="s">
        <v>2552</v>
      </c>
      <c r="AJ166" s="5" t="s">
        <v>2552</v>
      </c>
      <c r="AK166" s="21" t="s">
        <v>2</v>
      </c>
      <c r="AL166" s="72" t="s">
        <v>3894</v>
      </c>
      <c r="AM166" s="54" t="s">
        <v>4179</v>
      </c>
      <c r="AN166" s="34" t="s">
        <v>819</v>
      </c>
    </row>
    <row r="167" spans="2:40" x14ac:dyDescent="0.3">
      <c r="B167" s="18" t="s">
        <v>3430</v>
      </c>
      <c r="C167" s="47" t="s">
        <v>3431</v>
      </c>
      <c r="D167" s="15" t="s">
        <v>520</v>
      </c>
      <c r="E167" s="68" t="s">
        <v>2</v>
      </c>
      <c r="F167" s="55" t="s">
        <v>2</v>
      </c>
      <c r="G167" s="40" t="s">
        <v>2745</v>
      </c>
      <c r="H167" s="71" t="s">
        <v>2745</v>
      </c>
      <c r="I167" s="67" t="s">
        <v>287</v>
      </c>
      <c r="J167" s="73" t="s">
        <v>270</v>
      </c>
      <c r="K167" s="4">
        <v>1250000</v>
      </c>
      <c r="L167" s="41">
        <v>78.215999999999994</v>
      </c>
      <c r="M167" s="4">
        <v>977700</v>
      </c>
      <c r="N167" s="4">
        <v>1250000</v>
      </c>
      <c r="O167" s="4">
        <v>1250000</v>
      </c>
      <c r="P167" s="4">
        <v>0</v>
      </c>
      <c r="Q167" s="4">
        <v>0</v>
      </c>
      <c r="R167" s="4">
        <v>0</v>
      </c>
      <c r="S167" s="4">
        <v>0</v>
      </c>
      <c r="T167" s="23">
        <v>1.9419999999999999</v>
      </c>
      <c r="U167" s="23">
        <v>1.9419999999999999</v>
      </c>
      <c r="V167" s="5" t="s">
        <v>1916</v>
      </c>
      <c r="W167" s="4">
        <v>12138</v>
      </c>
      <c r="X167" s="4">
        <v>24275</v>
      </c>
      <c r="Y167" s="14">
        <v>44070</v>
      </c>
      <c r="Z167" s="14">
        <v>47665</v>
      </c>
      <c r="AA167" s="70" t="s">
        <v>3911</v>
      </c>
      <c r="AB167" s="69" t="s">
        <v>3892</v>
      </c>
      <c r="AC167" s="5" t="s">
        <v>7</v>
      </c>
      <c r="AD167" s="2"/>
      <c r="AE167" s="6"/>
      <c r="AF167" s="23"/>
      <c r="AG167" s="6"/>
      <c r="AH167" s="5" t="s">
        <v>2</v>
      </c>
      <c r="AI167" s="5" t="s">
        <v>2552</v>
      </c>
      <c r="AJ167" s="5" t="s">
        <v>2552</v>
      </c>
      <c r="AK167" s="21" t="s">
        <v>2</v>
      </c>
      <c r="AL167" s="72" t="s">
        <v>3894</v>
      </c>
      <c r="AM167" s="54" t="s">
        <v>4179</v>
      </c>
      <c r="AN167" s="34" t="s">
        <v>819</v>
      </c>
    </row>
    <row r="168" spans="2:40" x14ac:dyDescent="0.3">
      <c r="B168" s="18" t="s">
        <v>1184</v>
      </c>
      <c r="C168" s="47" t="s">
        <v>3432</v>
      </c>
      <c r="D168" s="15" t="s">
        <v>520</v>
      </c>
      <c r="E168" s="68" t="s">
        <v>2</v>
      </c>
      <c r="F168" s="55" t="s">
        <v>2</v>
      </c>
      <c r="G168" s="40" t="s">
        <v>2745</v>
      </c>
      <c r="H168" s="71" t="s">
        <v>2745</v>
      </c>
      <c r="I168" s="67" t="s">
        <v>287</v>
      </c>
      <c r="J168" s="73" t="s">
        <v>270</v>
      </c>
      <c r="K168" s="4">
        <v>3905000</v>
      </c>
      <c r="L168" s="41">
        <v>77.222999999999999</v>
      </c>
      <c r="M168" s="4">
        <v>3015558</v>
      </c>
      <c r="N168" s="4">
        <v>3905000</v>
      </c>
      <c r="O168" s="4">
        <v>3905000</v>
      </c>
      <c r="P168" s="4">
        <v>0</v>
      </c>
      <c r="Q168" s="4">
        <v>0</v>
      </c>
      <c r="R168" s="4">
        <v>0</v>
      </c>
      <c r="S168" s="4">
        <v>0</v>
      </c>
      <c r="T168" s="23">
        <v>2.1419999999999999</v>
      </c>
      <c r="U168" s="23">
        <v>2.1419999999999999</v>
      </c>
      <c r="V168" s="5" t="s">
        <v>1916</v>
      </c>
      <c r="W168" s="4">
        <v>41823</v>
      </c>
      <c r="X168" s="4">
        <v>83645</v>
      </c>
      <c r="Y168" s="14">
        <v>44070</v>
      </c>
      <c r="Z168" s="14">
        <v>48030</v>
      </c>
      <c r="AA168" s="70" t="s">
        <v>3911</v>
      </c>
      <c r="AB168" s="69" t="s">
        <v>3892</v>
      </c>
      <c r="AC168" s="5" t="s">
        <v>7</v>
      </c>
      <c r="AD168" s="2"/>
      <c r="AE168" s="9">
        <v>47665</v>
      </c>
      <c r="AF168" s="23">
        <v>100</v>
      </c>
      <c r="AG168" s="6"/>
      <c r="AH168" s="5" t="s">
        <v>2</v>
      </c>
      <c r="AI168" s="5" t="s">
        <v>2552</v>
      </c>
      <c r="AJ168" s="5" t="s">
        <v>2552</v>
      </c>
      <c r="AK168" s="21" t="s">
        <v>2</v>
      </c>
      <c r="AL168" s="72" t="s">
        <v>3894</v>
      </c>
      <c r="AM168" s="54" t="s">
        <v>4179</v>
      </c>
      <c r="AN168" s="34" t="s">
        <v>819</v>
      </c>
    </row>
    <row r="169" spans="2:40" x14ac:dyDescent="0.3">
      <c r="B169" s="18" t="s">
        <v>2292</v>
      </c>
      <c r="C169" s="47" t="s">
        <v>3433</v>
      </c>
      <c r="D169" s="15" t="s">
        <v>520</v>
      </c>
      <c r="E169" s="68" t="s">
        <v>2</v>
      </c>
      <c r="F169" s="55" t="s">
        <v>2</v>
      </c>
      <c r="G169" s="40" t="s">
        <v>2745</v>
      </c>
      <c r="H169" s="71" t="s">
        <v>2745</v>
      </c>
      <c r="I169" s="67" t="s">
        <v>287</v>
      </c>
      <c r="J169" s="73" t="s">
        <v>270</v>
      </c>
      <c r="K169" s="4">
        <v>5750000</v>
      </c>
      <c r="L169" s="41">
        <v>76.259</v>
      </c>
      <c r="M169" s="4">
        <v>4384893</v>
      </c>
      <c r="N169" s="4">
        <v>5750000</v>
      </c>
      <c r="O169" s="4">
        <v>5750000</v>
      </c>
      <c r="P169" s="4">
        <v>0</v>
      </c>
      <c r="Q169" s="4">
        <v>0</v>
      </c>
      <c r="R169" s="4">
        <v>0</v>
      </c>
      <c r="S169" s="4">
        <v>0</v>
      </c>
      <c r="T169" s="23">
        <v>2.2919999999999998</v>
      </c>
      <c r="U169" s="23">
        <v>2.2919999999999998</v>
      </c>
      <c r="V169" s="5" t="s">
        <v>1916</v>
      </c>
      <c r="W169" s="4">
        <v>65895</v>
      </c>
      <c r="X169" s="4">
        <v>131790</v>
      </c>
      <c r="Y169" s="14">
        <v>44070</v>
      </c>
      <c r="Z169" s="14">
        <v>48396</v>
      </c>
      <c r="AA169" s="70" t="s">
        <v>3911</v>
      </c>
      <c r="AB169" s="69" t="s">
        <v>3892</v>
      </c>
      <c r="AC169" s="5" t="s">
        <v>7</v>
      </c>
      <c r="AD169" s="2"/>
      <c r="AE169" s="14">
        <v>47665</v>
      </c>
      <c r="AF169" s="23">
        <v>100</v>
      </c>
      <c r="AG169" s="6"/>
      <c r="AH169" s="5" t="s">
        <v>2</v>
      </c>
      <c r="AI169" s="5" t="s">
        <v>2552</v>
      </c>
      <c r="AJ169" s="5" t="s">
        <v>2552</v>
      </c>
      <c r="AK169" s="21" t="s">
        <v>2</v>
      </c>
      <c r="AL169" s="72" t="s">
        <v>3894</v>
      </c>
      <c r="AM169" s="54" t="s">
        <v>4179</v>
      </c>
      <c r="AN169" s="34" t="s">
        <v>819</v>
      </c>
    </row>
    <row r="170" spans="2:40" x14ac:dyDescent="0.3">
      <c r="B170" s="18" t="s">
        <v>3434</v>
      </c>
      <c r="C170" s="47" t="s">
        <v>2765</v>
      </c>
      <c r="D170" s="15" t="s">
        <v>521</v>
      </c>
      <c r="E170" s="68" t="s">
        <v>2</v>
      </c>
      <c r="F170" s="55" t="s">
        <v>2</v>
      </c>
      <c r="G170" s="40" t="s">
        <v>2745</v>
      </c>
      <c r="H170" s="71" t="s">
        <v>2745</v>
      </c>
      <c r="I170" s="67" t="s">
        <v>3408</v>
      </c>
      <c r="J170" s="73" t="s">
        <v>270</v>
      </c>
      <c r="K170" s="4">
        <v>7546875</v>
      </c>
      <c r="L170" s="41">
        <v>97.774000000000001</v>
      </c>
      <c r="M170" s="4">
        <v>7333050</v>
      </c>
      <c r="N170" s="4">
        <v>7500000</v>
      </c>
      <c r="O170" s="4">
        <v>7513126</v>
      </c>
      <c r="P170" s="4">
        <v>0</v>
      </c>
      <c r="Q170" s="4">
        <v>-9293</v>
      </c>
      <c r="R170" s="4">
        <v>0</v>
      </c>
      <c r="S170" s="4">
        <v>0</v>
      </c>
      <c r="T170" s="23">
        <v>2.8839999999999999</v>
      </c>
      <c r="U170" s="23">
        <v>2.7530000000000001</v>
      </c>
      <c r="V170" s="5" t="s">
        <v>3409</v>
      </c>
      <c r="W170" s="4">
        <v>27638</v>
      </c>
      <c r="X170" s="4">
        <v>216300</v>
      </c>
      <c r="Y170" s="14">
        <v>43551</v>
      </c>
      <c r="Z170" s="14">
        <v>45427</v>
      </c>
      <c r="AA170" s="70" t="s">
        <v>2758</v>
      </c>
      <c r="AB170" s="69" t="s">
        <v>3892</v>
      </c>
      <c r="AC170" s="5" t="s">
        <v>7</v>
      </c>
      <c r="AD170" s="2"/>
      <c r="AE170" s="10"/>
      <c r="AF170" s="23"/>
      <c r="AG170" s="6"/>
      <c r="AH170" s="5" t="s">
        <v>2</v>
      </c>
      <c r="AI170" s="5" t="s">
        <v>2293</v>
      </c>
      <c r="AJ170" s="5" t="s">
        <v>1941</v>
      </c>
      <c r="AK170" s="21" t="s">
        <v>2</v>
      </c>
      <c r="AL170" s="72" t="s">
        <v>3894</v>
      </c>
      <c r="AM170" s="54" t="s">
        <v>4179</v>
      </c>
      <c r="AN170" s="34" t="s">
        <v>2278</v>
      </c>
    </row>
    <row r="171" spans="2:40" x14ac:dyDescent="0.3">
      <c r="B171" s="18" t="s">
        <v>32</v>
      </c>
      <c r="C171" s="47" t="s">
        <v>4208</v>
      </c>
      <c r="D171" s="15" t="s">
        <v>2294</v>
      </c>
      <c r="E171" s="68" t="s">
        <v>2</v>
      </c>
      <c r="F171" s="55" t="s">
        <v>2</v>
      </c>
      <c r="G171" s="40" t="s">
        <v>2745</v>
      </c>
      <c r="H171" s="71" t="s">
        <v>2745</v>
      </c>
      <c r="I171" s="67" t="s">
        <v>3408</v>
      </c>
      <c r="J171" s="73" t="s">
        <v>270</v>
      </c>
      <c r="K171" s="4">
        <v>22397869</v>
      </c>
      <c r="L171" s="41">
        <v>72.816000000000003</v>
      </c>
      <c r="M171" s="4">
        <v>16656655</v>
      </c>
      <c r="N171" s="4">
        <v>22875000</v>
      </c>
      <c r="O171" s="4">
        <v>22432302</v>
      </c>
      <c r="P171" s="4">
        <v>0</v>
      </c>
      <c r="Q171" s="4">
        <v>33219</v>
      </c>
      <c r="R171" s="4">
        <v>0</v>
      </c>
      <c r="S171" s="4">
        <v>0</v>
      </c>
      <c r="T171" s="23">
        <v>1.883</v>
      </c>
      <c r="U171" s="23">
        <v>2.069</v>
      </c>
      <c r="V171" s="5" t="s">
        <v>3895</v>
      </c>
      <c r="W171" s="4">
        <v>107683</v>
      </c>
      <c r="X171" s="4">
        <v>430734</v>
      </c>
      <c r="Y171" s="14">
        <v>44547</v>
      </c>
      <c r="Z171" s="14">
        <v>49218</v>
      </c>
      <c r="AA171" s="70" t="s">
        <v>2758</v>
      </c>
      <c r="AB171" s="69" t="s">
        <v>3892</v>
      </c>
      <c r="AC171" s="5" t="s">
        <v>7</v>
      </c>
      <c r="AD171" s="2"/>
      <c r="AE171" s="10"/>
      <c r="AF171" s="23"/>
      <c r="AG171" s="6"/>
      <c r="AH171" s="5" t="s">
        <v>2</v>
      </c>
      <c r="AI171" s="5" t="s">
        <v>2295</v>
      </c>
      <c r="AJ171" s="5" t="s">
        <v>2296</v>
      </c>
      <c r="AK171" s="21" t="s">
        <v>2</v>
      </c>
      <c r="AL171" s="72" t="s">
        <v>1921</v>
      </c>
      <c r="AM171" s="54" t="s">
        <v>4179</v>
      </c>
      <c r="AN171" s="34" t="s">
        <v>2278</v>
      </c>
    </row>
    <row r="172" spans="2:40" x14ac:dyDescent="0.3">
      <c r="B172" s="18" t="s">
        <v>1185</v>
      </c>
      <c r="C172" s="47" t="s">
        <v>2297</v>
      </c>
      <c r="D172" s="15" t="s">
        <v>2766</v>
      </c>
      <c r="E172" s="68" t="s">
        <v>2</v>
      </c>
      <c r="F172" s="55" t="s">
        <v>2</v>
      </c>
      <c r="G172" s="40" t="s">
        <v>2745</v>
      </c>
      <c r="H172" s="71" t="s">
        <v>2745</v>
      </c>
      <c r="I172" s="67" t="s">
        <v>2274</v>
      </c>
      <c r="J172" s="73" t="s">
        <v>270</v>
      </c>
      <c r="K172" s="4">
        <v>3000000</v>
      </c>
      <c r="L172" s="41">
        <v>76.045000000000002</v>
      </c>
      <c r="M172" s="4">
        <v>2281350</v>
      </c>
      <c r="N172" s="4">
        <v>3000000</v>
      </c>
      <c r="O172" s="4">
        <v>3000000</v>
      </c>
      <c r="P172" s="4">
        <v>0</v>
      </c>
      <c r="Q172" s="4">
        <v>0</v>
      </c>
      <c r="R172" s="4">
        <v>0</v>
      </c>
      <c r="S172" s="4">
        <v>0</v>
      </c>
      <c r="T172" s="23">
        <v>1.9319999999999999</v>
      </c>
      <c r="U172" s="23">
        <v>1.9319999999999999</v>
      </c>
      <c r="V172" s="5" t="s">
        <v>1916</v>
      </c>
      <c r="W172" s="4">
        <v>28980</v>
      </c>
      <c r="X172" s="4">
        <v>76958</v>
      </c>
      <c r="Y172" s="14">
        <v>44244</v>
      </c>
      <c r="Z172" s="14">
        <v>48030</v>
      </c>
      <c r="AA172" s="70" t="s">
        <v>3064</v>
      </c>
      <c r="AB172" s="69" t="s">
        <v>3892</v>
      </c>
      <c r="AC172" s="5" t="s">
        <v>7</v>
      </c>
      <c r="AD172" s="2"/>
      <c r="AE172" s="10"/>
      <c r="AF172" s="23"/>
      <c r="AG172" s="10"/>
      <c r="AH172" s="5" t="s">
        <v>2</v>
      </c>
      <c r="AI172" s="5" t="s">
        <v>2766</v>
      </c>
      <c r="AJ172" s="5" t="s">
        <v>2</v>
      </c>
      <c r="AK172" s="21" t="s">
        <v>2</v>
      </c>
      <c r="AL172" s="72" t="s">
        <v>3894</v>
      </c>
      <c r="AM172" s="54" t="s">
        <v>4179</v>
      </c>
      <c r="AN172" s="34" t="s">
        <v>1408</v>
      </c>
    </row>
    <row r="173" spans="2:40" x14ac:dyDescent="0.3">
      <c r="B173" s="18" t="s">
        <v>2298</v>
      </c>
      <c r="C173" s="47" t="s">
        <v>2299</v>
      </c>
      <c r="D173" s="15" t="s">
        <v>2766</v>
      </c>
      <c r="E173" s="68" t="s">
        <v>2</v>
      </c>
      <c r="F173" s="55" t="s">
        <v>2</v>
      </c>
      <c r="G173" s="40" t="s">
        <v>2745</v>
      </c>
      <c r="H173" s="71" t="s">
        <v>2745</v>
      </c>
      <c r="I173" s="67" t="s">
        <v>2274</v>
      </c>
      <c r="J173" s="73" t="s">
        <v>270</v>
      </c>
      <c r="K173" s="4">
        <v>7000000</v>
      </c>
      <c r="L173" s="41">
        <v>74.606999999999999</v>
      </c>
      <c r="M173" s="4">
        <v>5222490</v>
      </c>
      <c r="N173" s="4">
        <v>7000000</v>
      </c>
      <c r="O173" s="4">
        <v>7000000</v>
      </c>
      <c r="P173" s="4">
        <v>0</v>
      </c>
      <c r="Q173" s="4">
        <v>0</v>
      </c>
      <c r="R173" s="4">
        <v>0</v>
      </c>
      <c r="S173" s="4">
        <v>0</v>
      </c>
      <c r="T173" s="23">
        <v>2.032</v>
      </c>
      <c r="U173" s="23">
        <v>2.032</v>
      </c>
      <c r="V173" s="5" t="s">
        <v>1916</v>
      </c>
      <c r="W173" s="4">
        <v>71120</v>
      </c>
      <c r="X173" s="4">
        <v>188863</v>
      </c>
      <c r="Y173" s="14">
        <v>44245</v>
      </c>
      <c r="Z173" s="14">
        <v>48396</v>
      </c>
      <c r="AA173" s="70" t="s">
        <v>3064</v>
      </c>
      <c r="AB173" s="69" t="s">
        <v>3892</v>
      </c>
      <c r="AC173" s="5" t="s">
        <v>7</v>
      </c>
      <c r="AD173" s="2"/>
      <c r="AE173" s="10"/>
      <c r="AF173" s="23"/>
      <c r="AG173" s="10"/>
      <c r="AH173" s="5" t="s">
        <v>2</v>
      </c>
      <c r="AI173" s="5" t="s">
        <v>2766</v>
      </c>
      <c r="AJ173" s="5" t="s">
        <v>2</v>
      </c>
      <c r="AK173" s="21" t="s">
        <v>2</v>
      </c>
      <c r="AL173" s="72" t="s">
        <v>3894</v>
      </c>
      <c r="AM173" s="54" t="s">
        <v>4179</v>
      </c>
      <c r="AN173" s="34" t="s">
        <v>1408</v>
      </c>
    </row>
    <row r="174" spans="2:40" x14ac:dyDescent="0.3">
      <c r="B174" s="18" t="s">
        <v>3435</v>
      </c>
      <c r="C174" s="47" t="s">
        <v>1644</v>
      </c>
      <c r="D174" s="15" t="s">
        <v>3673</v>
      </c>
      <c r="E174" s="68" t="s">
        <v>2</v>
      </c>
      <c r="F174" s="55" t="s">
        <v>2</v>
      </c>
      <c r="G174" s="40" t="s">
        <v>2745</v>
      </c>
      <c r="H174" s="71" t="s">
        <v>2745</v>
      </c>
      <c r="I174" s="67" t="s">
        <v>1164</v>
      </c>
      <c r="J174" s="73" t="s">
        <v>270</v>
      </c>
      <c r="K174" s="4">
        <v>17500000</v>
      </c>
      <c r="L174" s="41">
        <v>77.376000000000005</v>
      </c>
      <c r="M174" s="4">
        <v>13540800</v>
      </c>
      <c r="N174" s="4">
        <v>17500000</v>
      </c>
      <c r="O174" s="4">
        <v>17500000</v>
      </c>
      <c r="P174" s="4">
        <v>0</v>
      </c>
      <c r="Q174" s="4">
        <v>0</v>
      </c>
      <c r="R174" s="4">
        <v>0</v>
      </c>
      <c r="S174" s="4">
        <v>0</v>
      </c>
      <c r="T174" s="23">
        <v>2.0470000000000002</v>
      </c>
      <c r="U174" s="23">
        <v>2.0470000000000002</v>
      </c>
      <c r="V174" s="5" t="s">
        <v>3409</v>
      </c>
      <c r="W174" s="4">
        <v>45773</v>
      </c>
      <c r="X174" s="4">
        <v>358225</v>
      </c>
      <c r="Y174" s="14">
        <v>44251</v>
      </c>
      <c r="Z174" s="14">
        <v>48349</v>
      </c>
      <c r="AA174" s="70" t="s">
        <v>3654</v>
      </c>
      <c r="AB174" s="69" t="s">
        <v>3892</v>
      </c>
      <c r="AC174" s="5" t="s">
        <v>7</v>
      </c>
      <c r="AD174" s="2"/>
      <c r="AE174" s="14">
        <v>47983</v>
      </c>
      <c r="AF174" s="23">
        <v>100</v>
      </c>
      <c r="AG174" s="10"/>
      <c r="AH174" s="5" t="s">
        <v>2</v>
      </c>
      <c r="AI174" s="5" t="s">
        <v>1942</v>
      </c>
      <c r="AJ174" s="5" t="s">
        <v>1645</v>
      </c>
      <c r="AK174" s="21" t="s">
        <v>2</v>
      </c>
      <c r="AL174" s="72" t="s">
        <v>3894</v>
      </c>
      <c r="AM174" s="54" t="s">
        <v>4179</v>
      </c>
      <c r="AN174" s="34" t="s">
        <v>1625</v>
      </c>
    </row>
    <row r="175" spans="2:40" x14ac:dyDescent="0.3">
      <c r="B175" s="18" t="s">
        <v>33</v>
      </c>
      <c r="C175" s="47" t="s">
        <v>3075</v>
      </c>
      <c r="D175" s="15" t="s">
        <v>3673</v>
      </c>
      <c r="E175" s="68" t="s">
        <v>2</v>
      </c>
      <c r="F175" s="55" t="s">
        <v>2</v>
      </c>
      <c r="G175" s="40" t="s">
        <v>2745</v>
      </c>
      <c r="H175" s="71" t="s">
        <v>2745</v>
      </c>
      <c r="I175" s="67" t="s">
        <v>1164</v>
      </c>
      <c r="J175" s="73" t="s">
        <v>270</v>
      </c>
      <c r="K175" s="4">
        <v>9710000</v>
      </c>
      <c r="L175" s="41">
        <v>76.028000000000006</v>
      </c>
      <c r="M175" s="4">
        <v>7382319</v>
      </c>
      <c r="N175" s="4">
        <v>9710000</v>
      </c>
      <c r="O175" s="4">
        <v>9710000</v>
      </c>
      <c r="P175" s="4">
        <v>0</v>
      </c>
      <c r="Q175" s="4">
        <v>0</v>
      </c>
      <c r="R175" s="4">
        <v>0</v>
      </c>
      <c r="S175" s="4">
        <v>0</v>
      </c>
      <c r="T175" s="23">
        <v>2.1469999999999998</v>
      </c>
      <c r="U175" s="23">
        <v>2.1469999999999998</v>
      </c>
      <c r="V175" s="5" t="s">
        <v>3409</v>
      </c>
      <c r="W175" s="4">
        <v>26638</v>
      </c>
      <c r="X175" s="4">
        <v>208474</v>
      </c>
      <c r="Y175" s="14">
        <v>44251</v>
      </c>
      <c r="Z175" s="14">
        <v>48714</v>
      </c>
      <c r="AA175" s="70" t="s">
        <v>3654</v>
      </c>
      <c r="AB175" s="69" t="s">
        <v>3892</v>
      </c>
      <c r="AC175" s="5" t="s">
        <v>7</v>
      </c>
      <c r="AD175" s="2"/>
      <c r="AE175" s="14">
        <v>47983</v>
      </c>
      <c r="AF175" s="23">
        <v>100</v>
      </c>
      <c r="AG175" s="6"/>
      <c r="AH175" s="5" t="s">
        <v>2</v>
      </c>
      <c r="AI175" s="5" t="s">
        <v>1942</v>
      </c>
      <c r="AJ175" s="5" t="s">
        <v>1645</v>
      </c>
      <c r="AK175" s="21" t="s">
        <v>2</v>
      </c>
      <c r="AL175" s="72" t="s">
        <v>3894</v>
      </c>
      <c r="AM175" s="54" t="s">
        <v>4179</v>
      </c>
      <c r="AN175" s="34" t="s">
        <v>1625</v>
      </c>
    </row>
    <row r="176" spans="2:40" x14ac:dyDescent="0.3">
      <c r="B176" s="18" t="s">
        <v>1425</v>
      </c>
      <c r="C176" s="47" t="s">
        <v>3076</v>
      </c>
      <c r="D176" s="15" t="s">
        <v>2553</v>
      </c>
      <c r="E176" s="68" t="s">
        <v>2</v>
      </c>
      <c r="F176" s="55" t="s">
        <v>2</v>
      </c>
      <c r="G176" s="40" t="s">
        <v>2745</v>
      </c>
      <c r="H176" s="71" t="s">
        <v>2745</v>
      </c>
      <c r="I176" s="67" t="s">
        <v>1164</v>
      </c>
      <c r="J176" s="73" t="s">
        <v>270</v>
      </c>
      <c r="K176" s="4">
        <v>1000000</v>
      </c>
      <c r="L176" s="41">
        <v>80.430999999999997</v>
      </c>
      <c r="M176" s="4">
        <v>804310</v>
      </c>
      <c r="N176" s="4">
        <v>1000000</v>
      </c>
      <c r="O176" s="4">
        <v>1000000</v>
      </c>
      <c r="P176" s="4">
        <v>0</v>
      </c>
      <c r="Q176" s="4">
        <v>0</v>
      </c>
      <c r="R176" s="4">
        <v>0</v>
      </c>
      <c r="S176" s="4">
        <v>0</v>
      </c>
      <c r="T176" s="23">
        <v>2.2890000000000001</v>
      </c>
      <c r="U176" s="23">
        <v>2.2890000000000001</v>
      </c>
      <c r="V176" s="5" t="s">
        <v>3898</v>
      </c>
      <c r="W176" s="4">
        <v>1017</v>
      </c>
      <c r="X176" s="4">
        <v>25115</v>
      </c>
      <c r="Y176" s="14">
        <v>44489</v>
      </c>
      <c r="Z176" s="14">
        <v>48563</v>
      </c>
      <c r="AA176" s="70" t="s">
        <v>1646</v>
      </c>
      <c r="AB176" s="69" t="s">
        <v>3892</v>
      </c>
      <c r="AC176" s="5" t="s">
        <v>7</v>
      </c>
      <c r="AD176" s="2"/>
      <c r="AE176" s="14">
        <v>48014</v>
      </c>
      <c r="AF176" s="23">
        <v>100</v>
      </c>
      <c r="AG176" s="6"/>
      <c r="AH176" s="5" t="s">
        <v>2</v>
      </c>
      <c r="AI176" s="5" t="s">
        <v>2553</v>
      </c>
      <c r="AJ176" s="5" t="s">
        <v>2</v>
      </c>
      <c r="AK176" s="21" t="s">
        <v>2</v>
      </c>
      <c r="AL176" s="72" t="s">
        <v>3894</v>
      </c>
      <c r="AM176" s="54" t="s">
        <v>4179</v>
      </c>
      <c r="AN176" s="34" t="s">
        <v>1625</v>
      </c>
    </row>
    <row r="177" spans="2:40" x14ac:dyDescent="0.3">
      <c r="B177" s="18" t="s">
        <v>2554</v>
      </c>
      <c r="C177" s="47" t="s">
        <v>3077</v>
      </c>
      <c r="D177" s="15" t="s">
        <v>2553</v>
      </c>
      <c r="E177" s="68" t="s">
        <v>2</v>
      </c>
      <c r="F177" s="55" t="s">
        <v>2</v>
      </c>
      <c r="G177" s="40" t="s">
        <v>2745</v>
      </c>
      <c r="H177" s="71" t="s">
        <v>2745</v>
      </c>
      <c r="I177" s="67" t="s">
        <v>1164</v>
      </c>
      <c r="J177" s="73" t="s">
        <v>270</v>
      </c>
      <c r="K177" s="4">
        <v>8025860</v>
      </c>
      <c r="L177" s="41">
        <v>79.834999999999994</v>
      </c>
      <c r="M177" s="4">
        <v>6386800</v>
      </c>
      <c r="N177" s="4">
        <v>8000000</v>
      </c>
      <c r="O177" s="4">
        <v>8023147</v>
      </c>
      <c r="P177" s="4">
        <v>0</v>
      </c>
      <c r="Q177" s="4">
        <v>-2331</v>
      </c>
      <c r="R177" s="4">
        <v>0</v>
      </c>
      <c r="S177" s="4">
        <v>0</v>
      </c>
      <c r="T177" s="23">
        <v>2.4390000000000001</v>
      </c>
      <c r="U177" s="23">
        <v>2.4009999999999998</v>
      </c>
      <c r="V177" s="5" t="s">
        <v>3898</v>
      </c>
      <c r="W177" s="4">
        <v>8672</v>
      </c>
      <c r="X177" s="4">
        <v>214090</v>
      </c>
      <c r="Y177" s="14">
        <v>44495</v>
      </c>
      <c r="Z177" s="14">
        <v>48928</v>
      </c>
      <c r="AA177" s="70" t="s">
        <v>1646</v>
      </c>
      <c r="AB177" s="69" t="s">
        <v>3892</v>
      </c>
      <c r="AC177" s="5" t="s">
        <v>7</v>
      </c>
      <c r="AD177" s="2"/>
      <c r="AE177" s="14">
        <v>48014</v>
      </c>
      <c r="AF177" s="23">
        <v>100</v>
      </c>
      <c r="AG177" s="9">
        <v>48014</v>
      </c>
      <c r="AH177" s="5" t="s">
        <v>2</v>
      </c>
      <c r="AI177" s="5" t="s">
        <v>2553</v>
      </c>
      <c r="AJ177" s="5" t="s">
        <v>2</v>
      </c>
      <c r="AK177" s="21" t="s">
        <v>2</v>
      </c>
      <c r="AL177" s="72" t="s">
        <v>3894</v>
      </c>
      <c r="AM177" s="54" t="s">
        <v>4179</v>
      </c>
      <c r="AN177" s="34" t="s">
        <v>1625</v>
      </c>
    </row>
    <row r="178" spans="2:40" x14ac:dyDescent="0.3">
      <c r="B178" s="18" t="s">
        <v>34</v>
      </c>
      <c r="C178" s="47" t="s">
        <v>2767</v>
      </c>
      <c r="D178" s="15" t="s">
        <v>2553</v>
      </c>
      <c r="E178" s="68" t="s">
        <v>2</v>
      </c>
      <c r="F178" s="55" t="s">
        <v>2</v>
      </c>
      <c r="G178" s="40" t="s">
        <v>2745</v>
      </c>
      <c r="H178" s="71" t="s">
        <v>2745</v>
      </c>
      <c r="I178" s="67" t="s">
        <v>1164</v>
      </c>
      <c r="J178" s="73" t="s">
        <v>270</v>
      </c>
      <c r="K178" s="4">
        <v>6015690</v>
      </c>
      <c r="L178" s="41">
        <v>79.055999999999997</v>
      </c>
      <c r="M178" s="4">
        <v>4743360</v>
      </c>
      <c r="N178" s="4">
        <v>6000000</v>
      </c>
      <c r="O178" s="4">
        <v>6014050</v>
      </c>
      <c r="P178" s="4">
        <v>0</v>
      </c>
      <c r="Q178" s="4">
        <v>-1409</v>
      </c>
      <c r="R178" s="4">
        <v>0</v>
      </c>
      <c r="S178" s="4">
        <v>0</v>
      </c>
      <c r="T178" s="23">
        <v>2.5390000000000001</v>
      </c>
      <c r="U178" s="23">
        <v>2.508</v>
      </c>
      <c r="V178" s="5" t="s">
        <v>3898</v>
      </c>
      <c r="W178" s="4">
        <v>6771</v>
      </c>
      <c r="X178" s="4">
        <v>167151</v>
      </c>
      <c r="Y178" s="14">
        <v>44494</v>
      </c>
      <c r="Z178" s="14">
        <v>49293</v>
      </c>
      <c r="AA178" s="70" t="s">
        <v>1646</v>
      </c>
      <c r="AB178" s="69" t="s">
        <v>3892</v>
      </c>
      <c r="AC178" s="5" t="s">
        <v>7</v>
      </c>
      <c r="AD178" s="2"/>
      <c r="AE178" s="9">
        <v>48014</v>
      </c>
      <c r="AF178" s="23">
        <v>100</v>
      </c>
      <c r="AG178" s="9">
        <v>48014</v>
      </c>
      <c r="AH178" s="5" t="s">
        <v>2</v>
      </c>
      <c r="AI178" s="5" t="s">
        <v>2553</v>
      </c>
      <c r="AJ178" s="5" t="s">
        <v>2</v>
      </c>
      <c r="AK178" s="21" t="s">
        <v>2</v>
      </c>
      <c r="AL178" s="72" t="s">
        <v>3894</v>
      </c>
      <c r="AM178" s="54" t="s">
        <v>4179</v>
      </c>
      <c r="AN178" s="34" t="s">
        <v>1625</v>
      </c>
    </row>
    <row r="179" spans="2:40" x14ac:dyDescent="0.3">
      <c r="B179" s="18" t="s">
        <v>1186</v>
      </c>
      <c r="C179" s="47" t="s">
        <v>2768</v>
      </c>
      <c r="D179" s="15" t="s">
        <v>1647</v>
      </c>
      <c r="E179" s="68" t="s">
        <v>2</v>
      </c>
      <c r="F179" s="55" t="s">
        <v>2</v>
      </c>
      <c r="G179" s="40" t="s">
        <v>2745</v>
      </c>
      <c r="H179" s="71" t="s">
        <v>2745</v>
      </c>
      <c r="I179" s="67" t="s">
        <v>8</v>
      </c>
      <c r="J179" s="73" t="s">
        <v>270</v>
      </c>
      <c r="K179" s="4">
        <v>1000000</v>
      </c>
      <c r="L179" s="41">
        <v>88.075000000000003</v>
      </c>
      <c r="M179" s="4">
        <v>880750</v>
      </c>
      <c r="N179" s="4">
        <v>1000000</v>
      </c>
      <c r="O179" s="4">
        <v>1000000</v>
      </c>
      <c r="P179" s="4">
        <v>0</v>
      </c>
      <c r="Q179" s="4">
        <v>0</v>
      </c>
      <c r="R179" s="4">
        <v>0</v>
      </c>
      <c r="S179" s="4">
        <v>0</v>
      </c>
      <c r="T179" s="23">
        <v>2.2170000000000001</v>
      </c>
      <c r="U179" s="23">
        <v>2.2170000000000001</v>
      </c>
      <c r="V179" s="5" t="s">
        <v>3409</v>
      </c>
      <c r="W179" s="4">
        <v>3695</v>
      </c>
      <c r="X179" s="4">
        <v>22170</v>
      </c>
      <c r="Y179" s="14">
        <v>43853</v>
      </c>
      <c r="Z179" s="14">
        <v>46874</v>
      </c>
      <c r="AA179" s="70" t="s">
        <v>288</v>
      </c>
      <c r="AB179" s="69" t="s">
        <v>3892</v>
      </c>
      <c r="AC179" s="5" t="s">
        <v>7</v>
      </c>
      <c r="AD179" s="2"/>
      <c r="AE179" s="10"/>
      <c r="AF179" s="23"/>
      <c r="AG179" s="6"/>
      <c r="AH179" s="5" t="s">
        <v>4209</v>
      </c>
      <c r="AI179" s="5" t="s">
        <v>820</v>
      </c>
      <c r="AJ179" s="5" t="s">
        <v>820</v>
      </c>
      <c r="AK179" s="21" t="s">
        <v>2</v>
      </c>
      <c r="AL179" s="72" t="s">
        <v>3894</v>
      </c>
      <c r="AM179" s="54" t="s">
        <v>4179</v>
      </c>
      <c r="AN179" s="34" t="s">
        <v>1923</v>
      </c>
    </row>
    <row r="180" spans="2:40" x14ac:dyDescent="0.3">
      <c r="B180" s="18" t="s">
        <v>2300</v>
      </c>
      <c r="C180" s="47" t="s">
        <v>289</v>
      </c>
      <c r="D180" s="15" t="s">
        <v>1647</v>
      </c>
      <c r="E180" s="68" t="s">
        <v>2</v>
      </c>
      <c r="F180" s="55" t="s">
        <v>2</v>
      </c>
      <c r="G180" s="40" t="s">
        <v>2745</v>
      </c>
      <c r="H180" s="71" t="s">
        <v>2745</v>
      </c>
      <c r="I180" s="67" t="s">
        <v>8</v>
      </c>
      <c r="J180" s="73" t="s">
        <v>270</v>
      </c>
      <c r="K180" s="4">
        <v>2100000</v>
      </c>
      <c r="L180" s="41">
        <v>82.980999999999995</v>
      </c>
      <c r="M180" s="4">
        <v>1742601</v>
      </c>
      <c r="N180" s="4">
        <v>2100000</v>
      </c>
      <c r="O180" s="4">
        <v>2100000</v>
      </c>
      <c r="P180" s="4">
        <v>0</v>
      </c>
      <c r="Q180" s="4">
        <v>0</v>
      </c>
      <c r="R180" s="4">
        <v>0</v>
      </c>
      <c r="S180" s="4">
        <v>0</v>
      </c>
      <c r="T180" s="23">
        <v>1.1220000000000001</v>
      </c>
      <c r="U180" s="23">
        <v>1.1220000000000001</v>
      </c>
      <c r="V180" s="5" t="s">
        <v>3409</v>
      </c>
      <c r="W180" s="4">
        <v>3927</v>
      </c>
      <c r="X180" s="4">
        <v>23562</v>
      </c>
      <c r="Y180" s="14">
        <v>44245</v>
      </c>
      <c r="Z180" s="14">
        <v>46874</v>
      </c>
      <c r="AA180" s="70" t="s">
        <v>288</v>
      </c>
      <c r="AB180" s="69" t="s">
        <v>3892</v>
      </c>
      <c r="AC180" s="5" t="s">
        <v>7</v>
      </c>
      <c r="AD180" s="2"/>
      <c r="AE180" s="10"/>
      <c r="AF180" s="23"/>
      <c r="AG180" s="6"/>
      <c r="AH180" s="5" t="s">
        <v>4209</v>
      </c>
      <c r="AI180" s="5" t="s">
        <v>820</v>
      </c>
      <c r="AJ180" s="5" t="s">
        <v>820</v>
      </c>
      <c r="AK180" s="21" t="s">
        <v>2</v>
      </c>
      <c r="AL180" s="72" t="s">
        <v>3894</v>
      </c>
      <c r="AM180" s="54" t="s">
        <v>4179</v>
      </c>
      <c r="AN180" s="34" t="s">
        <v>1923</v>
      </c>
    </row>
    <row r="181" spans="2:40" x14ac:dyDescent="0.3">
      <c r="B181" s="7" t="s">
        <v>2744</v>
      </c>
      <c r="C181" s="1" t="s">
        <v>2744</v>
      </c>
      <c r="D181" s="8" t="s">
        <v>2744</v>
      </c>
      <c r="E181" s="1" t="s">
        <v>2744</v>
      </c>
      <c r="F181" s="1" t="s">
        <v>2744</v>
      </c>
      <c r="G181" s="1" t="s">
        <v>2744</v>
      </c>
      <c r="H181" s="1" t="s">
        <v>2744</v>
      </c>
      <c r="I181" s="1" t="s">
        <v>2744</v>
      </c>
      <c r="J181" s="1" t="s">
        <v>2744</v>
      </c>
      <c r="K181" s="1" t="s">
        <v>2744</v>
      </c>
      <c r="L181" s="1" t="s">
        <v>2744</v>
      </c>
      <c r="M181" s="1" t="s">
        <v>2744</v>
      </c>
      <c r="N181" s="1" t="s">
        <v>2744</v>
      </c>
      <c r="O181" s="1" t="s">
        <v>2744</v>
      </c>
      <c r="P181" s="1" t="s">
        <v>2744</v>
      </c>
      <c r="Q181" s="1" t="s">
        <v>2744</v>
      </c>
      <c r="R181" s="1" t="s">
        <v>2744</v>
      </c>
      <c r="S181" s="1" t="s">
        <v>2744</v>
      </c>
      <c r="T181" s="1" t="s">
        <v>2744</v>
      </c>
      <c r="U181" s="1" t="s">
        <v>2744</v>
      </c>
      <c r="V181" s="1" t="s">
        <v>2744</v>
      </c>
      <c r="W181" s="1" t="s">
        <v>2744</v>
      </c>
      <c r="X181" s="1" t="s">
        <v>2744</v>
      </c>
      <c r="Y181" s="22" t="s">
        <v>2744</v>
      </c>
      <c r="Z181" s="22" t="s">
        <v>2744</v>
      </c>
      <c r="AA181" s="1" t="s">
        <v>2744</v>
      </c>
      <c r="AB181" s="1" t="s">
        <v>2744</v>
      </c>
      <c r="AC181" s="1" t="s">
        <v>2744</v>
      </c>
      <c r="AD181" s="1" t="s">
        <v>2744</v>
      </c>
      <c r="AE181" s="1" t="s">
        <v>2744</v>
      </c>
      <c r="AF181" s="1" t="s">
        <v>2744</v>
      </c>
      <c r="AG181" s="1" t="s">
        <v>2744</v>
      </c>
      <c r="AH181" s="1" t="s">
        <v>2744</v>
      </c>
      <c r="AI181" s="1" t="s">
        <v>2744</v>
      </c>
      <c r="AJ181" s="1" t="s">
        <v>2744</v>
      </c>
      <c r="AK181" s="1" t="s">
        <v>2744</v>
      </c>
      <c r="AL181" s="1" t="s">
        <v>2744</v>
      </c>
      <c r="AM181" s="1" t="s">
        <v>2744</v>
      </c>
      <c r="AN181" s="1" t="s">
        <v>2744</v>
      </c>
    </row>
    <row r="182" spans="2:40" ht="42" x14ac:dyDescent="0.3">
      <c r="B182" s="19" t="s">
        <v>3912</v>
      </c>
      <c r="C182" s="17" t="s">
        <v>1943</v>
      </c>
      <c r="D182" s="16"/>
      <c r="E182" s="2"/>
      <c r="F182" s="2"/>
      <c r="G182" s="2"/>
      <c r="H182" s="2"/>
      <c r="I182" s="2"/>
      <c r="J182" s="2"/>
      <c r="K182" s="3">
        <f>SUM(GMIC_22A_SCDPT1!SCDPT1_081BEGINNG_7:GMIC_22A_SCDPT1!SCDPT1_081ENDINGG_7)</f>
        <v>335163200</v>
      </c>
      <c r="L182" s="2"/>
      <c r="M182" s="3">
        <f>SUM(GMIC_22A_SCDPT1!SCDPT1_081BEGINNG_9:GMIC_22A_SCDPT1!SCDPT1_081ENDINGG_9)</f>
        <v>270290391</v>
      </c>
      <c r="N182" s="3">
        <f>SUM(GMIC_22A_SCDPT1!SCDPT1_081BEGINNG_10:GMIC_22A_SCDPT1!SCDPT1_081ENDINGG_10)</f>
        <v>336695000</v>
      </c>
      <c r="O182" s="3">
        <f>SUM(GMIC_22A_SCDPT1!SCDPT1_081BEGINNG_11:GMIC_22A_SCDPT1!SCDPT1_081ENDINGG_11)</f>
        <v>336264416</v>
      </c>
      <c r="P182" s="3">
        <f>SUM(GMIC_22A_SCDPT1!SCDPT1_081BEGINNG_12:GMIC_22A_SCDPT1!SCDPT1_081ENDINGG_12)</f>
        <v>0</v>
      </c>
      <c r="Q182" s="3">
        <f>SUM(GMIC_22A_SCDPT1!SCDPT1_081BEGINNG_13:GMIC_22A_SCDPT1!SCDPT1_081ENDINGG_13)</f>
        <v>199554</v>
      </c>
      <c r="R182" s="3">
        <f>SUM(GMIC_22A_SCDPT1!SCDPT1_081BEGINNG_14:GMIC_22A_SCDPT1!SCDPT1_081ENDINGG_14)</f>
        <v>0</v>
      </c>
      <c r="S182" s="3">
        <f>SUM(GMIC_22A_SCDPT1!SCDPT1_081BEGINNG_15:GMIC_22A_SCDPT1!SCDPT1_081ENDINGG_15)</f>
        <v>0</v>
      </c>
      <c r="T182" s="2"/>
      <c r="U182" s="2"/>
      <c r="V182" s="2"/>
      <c r="W182" s="3">
        <f>SUM(GMIC_22A_SCDPT1!SCDPT1_081BEGINNG_19:GMIC_22A_SCDPT1!SCDPT1_081ENDINGG_19)</f>
        <v>1589275</v>
      </c>
      <c r="X182" s="3">
        <f>SUM(GMIC_22A_SCDPT1!SCDPT1_081BEGINNG_20:GMIC_22A_SCDPT1!SCDPT1_081ENDINGG_20)</f>
        <v>7191200</v>
      </c>
      <c r="Y182" s="29"/>
      <c r="Z182" s="29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</row>
    <row r="183" spans="2:40" x14ac:dyDescent="0.3">
      <c r="B183" s="7" t="s">
        <v>2744</v>
      </c>
      <c r="C183" s="1" t="s">
        <v>2744</v>
      </c>
      <c r="D183" s="8" t="s">
        <v>2744</v>
      </c>
      <c r="E183" s="1" t="s">
        <v>2744</v>
      </c>
      <c r="F183" s="1" t="s">
        <v>2744</v>
      </c>
      <c r="G183" s="1" t="s">
        <v>2744</v>
      </c>
      <c r="H183" s="1" t="s">
        <v>2744</v>
      </c>
      <c r="I183" s="1" t="s">
        <v>2744</v>
      </c>
      <c r="J183" s="1" t="s">
        <v>2744</v>
      </c>
      <c r="K183" s="1" t="s">
        <v>2744</v>
      </c>
      <c r="L183" s="1" t="s">
        <v>2744</v>
      </c>
      <c r="M183" s="1" t="s">
        <v>2744</v>
      </c>
      <c r="N183" s="1" t="s">
        <v>2744</v>
      </c>
      <c r="O183" s="1" t="s">
        <v>2744</v>
      </c>
      <c r="P183" s="1" t="s">
        <v>2744</v>
      </c>
      <c r="Q183" s="1" t="s">
        <v>2744</v>
      </c>
      <c r="R183" s="1" t="s">
        <v>2744</v>
      </c>
      <c r="S183" s="1" t="s">
        <v>2744</v>
      </c>
      <c r="T183" s="1" t="s">
        <v>2744</v>
      </c>
      <c r="U183" s="1" t="s">
        <v>2744</v>
      </c>
      <c r="V183" s="1" t="s">
        <v>2744</v>
      </c>
      <c r="W183" s="1" t="s">
        <v>2744</v>
      </c>
      <c r="X183" s="1" t="s">
        <v>2744</v>
      </c>
      <c r="Y183" s="22" t="s">
        <v>2744</v>
      </c>
      <c r="Z183" s="22" t="s">
        <v>2744</v>
      </c>
      <c r="AA183" s="1" t="s">
        <v>2744</v>
      </c>
      <c r="AB183" s="1" t="s">
        <v>2744</v>
      </c>
      <c r="AC183" s="1" t="s">
        <v>2744</v>
      </c>
      <c r="AD183" s="1" t="s">
        <v>2744</v>
      </c>
      <c r="AE183" s="22" t="s">
        <v>2744</v>
      </c>
      <c r="AF183" s="1" t="s">
        <v>2744</v>
      </c>
      <c r="AG183" s="1" t="s">
        <v>2744</v>
      </c>
      <c r="AH183" s="1" t="s">
        <v>2744</v>
      </c>
      <c r="AI183" s="1" t="s">
        <v>2744</v>
      </c>
      <c r="AJ183" s="1" t="s">
        <v>2744</v>
      </c>
      <c r="AK183" s="1" t="s">
        <v>2744</v>
      </c>
      <c r="AL183" s="1" t="s">
        <v>2744</v>
      </c>
      <c r="AM183" s="1" t="s">
        <v>2744</v>
      </c>
      <c r="AN183" s="1" t="s">
        <v>2744</v>
      </c>
    </row>
    <row r="184" spans="2:40" x14ac:dyDescent="0.3">
      <c r="B184" s="18" t="s">
        <v>2301</v>
      </c>
      <c r="C184" s="25" t="s">
        <v>3897</v>
      </c>
      <c r="D184" s="15" t="s">
        <v>2</v>
      </c>
      <c r="E184" s="37" t="s">
        <v>2</v>
      </c>
      <c r="F184" s="20" t="s">
        <v>2</v>
      </c>
      <c r="G184" s="40" t="s">
        <v>2</v>
      </c>
      <c r="H184" s="32" t="s">
        <v>2</v>
      </c>
      <c r="I184" s="33" t="s">
        <v>2</v>
      </c>
      <c r="J184" s="38" t="s">
        <v>2</v>
      </c>
      <c r="K184" s="4"/>
      <c r="L184" s="41"/>
      <c r="M184" s="4"/>
      <c r="N184" s="4"/>
      <c r="O184" s="4"/>
      <c r="P184" s="4"/>
      <c r="Q184" s="4"/>
      <c r="R184" s="4"/>
      <c r="S184" s="4"/>
      <c r="T184" s="23"/>
      <c r="U184" s="23"/>
      <c r="V184" s="5" t="s">
        <v>2</v>
      </c>
      <c r="W184" s="4"/>
      <c r="X184" s="4"/>
      <c r="Y184" s="10"/>
      <c r="Z184" s="10"/>
      <c r="AA184" s="45" t="s">
        <v>2</v>
      </c>
      <c r="AB184" s="31" t="s">
        <v>2</v>
      </c>
      <c r="AC184" s="5" t="s">
        <v>2</v>
      </c>
      <c r="AD184" s="43" t="s">
        <v>2</v>
      </c>
      <c r="AE184" s="6"/>
      <c r="AF184" s="23"/>
      <c r="AG184" s="6"/>
      <c r="AH184" s="5" t="s">
        <v>2</v>
      </c>
      <c r="AI184" s="5" t="s">
        <v>2</v>
      </c>
      <c r="AJ184" s="5" t="s">
        <v>2</v>
      </c>
      <c r="AK184" s="21" t="s">
        <v>2</v>
      </c>
      <c r="AL184" s="39" t="s">
        <v>2</v>
      </c>
      <c r="AM184" s="26" t="s">
        <v>2</v>
      </c>
      <c r="AN184" s="34" t="s">
        <v>2</v>
      </c>
    </row>
    <row r="185" spans="2:40" x14ac:dyDescent="0.3">
      <c r="B185" s="7" t="s">
        <v>2744</v>
      </c>
      <c r="C185" s="1" t="s">
        <v>2744</v>
      </c>
      <c r="D185" s="8" t="s">
        <v>2744</v>
      </c>
      <c r="E185" s="1" t="s">
        <v>2744</v>
      </c>
      <c r="F185" s="1" t="s">
        <v>2744</v>
      </c>
      <c r="G185" s="1" t="s">
        <v>2744</v>
      </c>
      <c r="H185" s="1" t="s">
        <v>2744</v>
      </c>
      <c r="I185" s="1" t="s">
        <v>2744</v>
      </c>
      <c r="J185" s="1" t="s">
        <v>2744</v>
      </c>
      <c r="K185" s="1" t="s">
        <v>2744</v>
      </c>
      <c r="L185" s="1" t="s">
        <v>2744</v>
      </c>
      <c r="M185" s="1" t="s">
        <v>2744</v>
      </c>
      <c r="N185" s="1" t="s">
        <v>2744</v>
      </c>
      <c r="O185" s="1" t="s">
        <v>2744</v>
      </c>
      <c r="P185" s="1" t="s">
        <v>2744</v>
      </c>
      <c r="Q185" s="1" t="s">
        <v>2744</v>
      </c>
      <c r="R185" s="1" t="s">
        <v>2744</v>
      </c>
      <c r="S185" s="1" t="s">
        <v>2744</v>
      </c>
      <c r="T185" s="1" t="s">
        <v>2744</v>
      </c>
      <c r="U185" s="1" t="s">
        <v>2744</v>
      </c>
      <c r="V185" s="1" t="s">
        <v>2744</v>
      </c>
      <c r="W185" s="1" t="s">
        <v>2744</v>
      </c>
      <c r="X185" s="1" t="s">
        <v>2744</v>
      </c>
      <c r="Y185" s="22" t="s">
        <v>2744</v>
      </c>
      <c r="Z185" s="22" t="s">
        <v>2744</v>
      </c>
      <c r="AA185" s="1" t="s">
        <v>2744</v>
      </c>
      <c r="AB185" s="1" t="s">
        <v>2744</v>
      </c>
      <c r="AC185" s="1" t="s">
        <v>2744</v>
      </c>
      <c r="AD185" s="1" t="s">
        <v>2744</v>
      </c>
      <c r="AE185" s="1" t="s">
        <v>2744</v>
      </c>
      <c r="AF185" s="1" t="s">
        <v>2744</v>
      </c>
      <c r="AG185" s="1" t="s">
        <v>2744</v>
      </c>
      <c r="AH185" s="1" t="s">
        <v>2744</v>
      </c>
      <c r="AI185" s="1" t="s">
        <v>2744</v>
      </c>
      <c r="AJ185" s="1" t="s">
        <v>2744</v>
      </c>
      <c r="AK185" s="1" t="s">
        <v>2744</v>
      </c>
      <c r="AL185" s="1" t="s">
        <v>2744</v>
      </c>
      <c r="AM185" s="1" t="s">
        <v>2744</v>
      </c>
      <c r="AN185" s="1" t="s">
        <v>2744</v>
      </c>
    </row>
    <row r="186" spans="2:40" ht="56" x14ac:dyDescent="0.3">
      <c r="B186" s="19" t="s">
        <v>3078</v>
      </c>
      <c r="C186" s="17" t="s">
        <v>2769</v>
      </c>
      <c r="D186" s="16"/>
      <c r="E186" s="2"/>
      <c r="F186" s="2"/>
      <c r="G186" s="2"/>
      <c r="H186" s="2"/>
      <c r="I186" s="2"/>
      <c r="J186" s="2"/>
      <c r="K186" s="3">
        <f>SUM(GMIC_22A_SCDPT1!SCDPT1_082BEGINNG_7:GMIC_22A_SCDPT1!SCDPT1_082ENDINGG_7)</f>
        <v>0</v>
      </c>
      <c r="L186" s="2"/>
      <c r="M186" s="3">
        <f>SUM(GMIC_22A_SCDPT1!SCDPT1_082BEGINNG_9:GMIC_22A_SCDPT1!SCDPT1_082ENDINGG_9)</f>
        <v>0</v>
      </c>
      <c r="N186" s="3">
        <f>SUM(GMIC_22A_SCDPT1!SCDPT1_082BEGINNG_10:GMIC_22A_SCDPT1!SCDPT1_082ENDINGG_10)</f>
        <v>0</v>
      </c>
      <c r="O186" s="3">
        <f>SUM(GMIC_22A_SCDPT1!SCDPT1_082BEGINNG_11:GMIC_22A_SCDPT1!SCDPT1_082ENDINGG_11)</f>
        <v>0</v>
      </c>
      <c r="P186" s="3">
        <f>SUM(GMIC_22A_SCDPT1!SCDPT1_082BEGINNG_12:GMIC_22A_SCDPT1!SCDPT1_082ENDINGG_12)</f>
        <v>0</v>
      </c>
      <c r="Q186" s="3">
        <f>SUM(GMIC_22A_SCDPT1!SCDPT1_082BEGINNG_13:GMIC_22A_SCDPT1!SCDPT1_082ENDINGG_13)</f>
        <v>0</v>
      </c>
      <c r="R186" s="3">
        <f>SUM(GMIC_22A_SCDPT1!SCDPT1_082BEGINNG_14:GMIC_22A_SCDPT1!SCDPT1_082ENDINGG_14)</f>
        <v>0</v>
      </c>
      <c r="S186" s="3">
        <f>SUM(GMIC_22A_SCDPT1!SCDPT1_082BEGINNG_15:GMIC_22A_SCDPT1!SCDPT1_082ENDINGG_15)</f>
        <v>0</v>
      </c>
      <c r="T186" s="2"/>
      <c r="U186" s="2"/>
      <c r="V186" s="2"/>
      <c r="W186" s="3">
        <f>SUM(GMIC_22A_SCDPT1!SCDPT1_082BEGINNG_19:GMIC_22A_SCDPT1!SCDPT1_082ENDINGG_19)</f>
        <v>0</v>
      </c>
      <c r="X186" s="3">
        <f>SUM(GMIC_22A_SCDPT1!SCDPT1_082BEGINNG_20:GMIC_22A_SCDPT1!SCDPT1_082ENDINGG_20)</f>
        <v>0</v>
      </c>
      <c r="Y186" s="29"/>
      <c r="Z186" s="29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</row>
    <row r="187" spans="2:40" x14ac:dyDescent="0.3">
      <c r="B187" s="7" t="s">
        <v>2744</v>
      </c>
      <c r="C187" s="1" t="s">
        <v>2744</v>
      </c>
      <c r="D187" s="8" t="s">
        <v>2744</v>
      </c>
      <c r="E187" s="1" t="s">
        <v>2744</v>
      </c>
      <c r="F187" s="1" t="s">
        <v>2744</v>
      </c>
      <c r="G187" s="1" t="s">
        <v>2744</v>
      </c>
      <c r="H187" s="1" t="s">
        <v>2744</v>
      </c>
      <c r="I187" s="1" t="s">
        <v>2744</v>
      </c>
      <c r="J187" s="1" t="s">
        <v>2744</v>
      </c>
      <c r="K187" s="1" t="s">
        <v>2744</v>
      </c>
      <c r="L187" s="1" t="s">
        <v>2744</v>
      </c>
      <c r="M187" s="1" t="s">
        <v>2744</v>
      </c>
      <c r="N187" s="1" t="s">
        <v>2744</v>
      </c>
      <c r="O187" s="1" t="s">
        <v>2744</v>
      </c>
      <c r="P187" s="1" t="s">
        <v>2744</v>
      </c>
      <c r="Q187" s="1" t="s">
        <v>2744</v>
      </c>
      <c r="R187" s="1" t="s">
        <v>2744</v>
      </c>
      <c r="S187" s="1" t="s">
        <v>2744</v>
      </c>
      <c r="T187" s="1" t="s">
        <v>2744</v>
      </c>
      <c r="U187" s="1" t="s">
        <v>2744</v>
      </c>
      <c r="V187" s="1" t="s">
        <v>2744</v>
      </c>
      <c r="W187" s="1" t="s">
        <v>2744</v>
      </c>
      <c r="X187" s="1" t="s">
        <v>2744</v>
      </c>
      <c r="Y187" s="22" t="s">
        <v>2744</v>
      </c>
      <c r="Z187" s="22" t="s">
        <v>2744</v>
      </c>
      <c r="AA187" s="1" t="s">
        <v>2744</v>
      </c>
      <c r="AB187" s="1" t="s">
        <v>2744</v>
      </c>
      <c r="AC187" s="1" t="s">
        <v>2744</v>
      </c>
      <c r="AD187" s="1" t="s">
        <v>2744</v>
      </c>
      <c r="AE187" s="22" t="s">
        <v>2744</v>
      </c>
      <c r="AF187" s="1" t="s">
        <v>2744</v>
      </c>
      <c r="AG187" s="1" t="s">
        <v>2744</v>
      </c>
      <c r="AH187" s="1" t="s">
        <v>2744</v>
      </c>
      <c r="AI187" s="1" t="s">
        <v>2744</v>
      </c>
      <c r="AJ187" s="1" t="s">
        <v>2744</v>
      </c>
      <c r="AK187" s="1" t="s">
        <v>2744</v>
      </c>
      <c r="AL187" s="1" t="s">
        <v>2744</v>
      </c>
      <c r="AM187" s="1" t="s">
        <v>2744</v>
      </c>
      <c r="AN187" s="1" t="s">
        <v>2744</v>
      </c>
    </row>
    <row r="188" spans="2:40" x14ac:dyDescent="0.3">
      <c r="B188" s="18" t="s">
        <v>1426</v>
      </c>
      <c r="C188" s="25" t="s">
        <v>3897</v>
      </c>
      <c r="D188" s="15" t="s">
        <v>2</v>
      </c>
      <c r="E188" s="37" t="s">
        <v>2</v>
      </c>
      <c r="F188" s="20" t="s">
        <v>2</v>
      </c>
      <c r="G188" s="40" t="s">
        <v>2</v>
      </c>
      <c r="H188" s="32" t="s">
        <v>2</v>
      </c>
      <c r="I188" s="33" t="s">
        <v>2</v>
      </c>
      <c r="J188" s="38" t="s">
        <v>2</v>
      </c>
      <c r="K188" s="4"/>
      <c r="L188" s="41"/>
      <c r="M188" s="4"/>
      <c r="N188" s="4"/>
      <c r="O188" s="4"/>
      <c r="P188" s="4"/>
      <c r="Q188" s="4"/>
      <c r="R188" s="4"/>
      <c r="S188" s="4"/>
      <c r="T188" s="23"/>
      <c r="U188" s="23"/>
      <c r="V188" s="5" t="s">
        <v>2</v>
      </c>
      <c r="W188" s="4"/>
      <c r="X188" s="4"/>
      <c r="Y188" s="10"/>
      <c r="Z188" s="10"/>
      <c r="AA188" s="45" t="s">
        <v>2</v>
      </c>
      <c r="AB188" s="31" t="s">
        <v>2</v>
      </c>
      <c r="AC188" s="5" t="s">
        <v>2</v>
      </c>
      <c r="AD188" s="43" t="s">
        <v>2</v>
      </c>
      <c r="AE188" s="10"/>
      <c r="AF188" s="23"/>
      <c r="AG188" s="10"/>
      <c r="AH188" s="5" t="s">
        <v>2</v>
      </c>
      <c r="AI188" s="5" t="s">
        <v>2</v>
      </c>
      <c r="AJ188" s="5" t="s">
        <v>2</v>
      </c>
      <c r="AK188" s="21" t="s">
        <v>2</v>
      </c>
      <c r="AL188" s="39" t="s">
        <v>2</v>
      </c>
      <c r="AM188" s="26" t="s">
        <v>2</v>
      </c>
      <c r="AN188" s="34" t="s">
        <v>2</v>
      </c>
    </row>
    <row r="189" spans="2:40" x14ac:dyDescent="0.3">
      <c r="B189" s="7" t="s">
        <v>2744</v>
      </c>
      <c r="C189" s="1" t="s">
        <v>2744</v>
      </c>
      <c r="D189" s="8" t="s">
        <v>2744</v>
      </c>
      <c r="E189" s="1" t="s">
        <v>2744</v>
      </c>
      <c r="F189" s="1" t="s">
        <v>2744</v>
      </c>
      <c r="G189" s="1" t="s">
        <v>2744</v>
      </c>
      <c r="H189" s="1" t="s">
        <v>2744</v>
      </c>
      <c r="I189" s="1" t="s">
        <v>2744</v>
      </c>
      <c r="J189" s="1" t="s">
        <v>2744</v>
      </c>
      <c r="K189" s="1" t="s">
        <v>2744</v>
      </c>
      <c r="L189" s="1" t="s">
        <v>2744</v>
      </c>
      <c r="M189" s="1" t="s">
        <v>2744</v>
      </c>
      <c r="N189" s="1" t="s">
        <v>2744</v>
      </c>
      <c r="O189" s="1" t="s">
        <v>2744</v>
      </c>
      <c r="P189" s="1" t="s">
        <v>2744</v>
      </c>
      <c r="Q189" s="1" t="s">
        <v>2744</v>
      </c>
      <c r="R189" s="1" t="s">
        <v>2744</v>
      </c>
      <c r="S189" s="1" t="s">
        <v>2744</v>
      </c>
      <c r="T189" s="1" t="s">
        <v>2744</v>
      </c>
      <c r="U189" s="1" t="s">
        <v>2744</v>
      </c>
      <c r="V189" s="1" t="s">
        <v>2744</v>
      </c>
      <c r="W189" s="1" t="s">
        <v>2744</v>
      </c>
      <c r="X189" s="1" t="s">
        <v>2744</v>
      </c>
      <c r="Y189" s="22" t="s">
        <v>2744</v>
      </c>
      <c r="Z189" s="22" t="s">
        <v>2744</v>
      </c>
      <c r="AA189" s="1" t="s">
        <v>2744</v>
      </c>
      <c r="AB189" s="1" t="s">
        <v>2744</v>
      </c>
      <c r="AC189" s="1" t="s">
        <v>2744</v>
      </c>
      <c r="AD189" s="1" t="s">
        <v>2744</v>
      </c>
      <c r="AE189" s="22" t="s">
        <v>2744</v>
      </c>
      <c r="AF189" s="1" t="s">
        <v>2744</v>
      </c>
      <c r="AG189" s="1" t="s">
        <v>2744</v>
      </c>
      <c r="AH189" s="1" t="s">
        <v>2744</v>
      </c>
      <c r="AI189" s="1" t="s">
        <v>2744</v>
      </c>
      <c r="AJ189" s="1" t="s">
        <v>2744</v>
      </c>
      <c r="AK189" s="1" t="s">
        <v>2744</v>
      </c>
      <c r="AL189" s="1" t="s">
        <v>2744</v>
      </c>
      <c r="AM189" s="1" t="s">
        <v>2744</v>
      </c>
      <c r="AN189" s="1" t="s">
        <v>2744</v>
      </c>
    </row>
    <row r="190" spans="2:40" ht="56" x14ac:dyDescent="0.3">
      <c r="B190" s="19" t="s">
        <v>2302</v>
      </c>
      <c r="C190" s="17" t="s">
        <v>35</v>
      </c>
      <c r="D190" s="16"/>
      <c r="E190" s="2"/>
      <c r="F190" s="2"/>
      <c r="G190" s="2"/>
      <c r="H190" s="2"/>
      <c r="I190" s="2"/>
      <c r="J190" s="2"/>
      <c r="K190" s="3">
        <f>SUM(GMIC_22A_SCDPT1!SCDPT1_083BEGINNG_7:GMIC_22A_SCDPT1!SCDPT1_083ENDINGG_7)</f>
        <v>0</v>
      </c>
      <c r="L190" s="2"/>
      <c r="M190" s="3">
        <f>SUM(GMIC_22A_SCDPT1!SCDPT1_083BEGINNG_9:GMIC_22A_SCDPT1!SCDPT1_083ENDINGG_9)</f>
        <v>0</v>
      </c>
      <c r="N190" s="3">
        <f>SUM(GMIC_22A_SCDPT1!SCDPT1_083BEGINNG_10:GMIC_22A_SCDPT1!SCDPT1_083ENDINGG_10)</f>
        <v>0</v>
      </c>
      <c r="O190" s="3">
        <f>SUM(GMIC_22A_SCDPT1!SCDPT1_083BEGINNG_11:GMIC_22A_SCDPT1!SCDPT1_083ENDINGG_11)</f>
        <v>0</v>
      </c>
      <c r="P190" s="3">
        <f>SUM(GMIC_22A_SCDPT1!SCDPT1_083BEGINNG_12:GMIC_22A_SCDPT1!SCDPT1_083ENDINGG_12)</f>
        <v>0</v>
      </c>
      <c r="Q190" s="3">
        <f>SUM(GMIC_22A_SCDPT1!SCDPT1_083BEGINNG_13:GMIC_22A_SCDPT1!SCDPT1_083ENDINGG_13)</f>
        <v>0</v>
      </c>
      <c r="R190" s="3">
        <f>SUM(GMIC_22A_SCDPT1!SCDPT1_083BEGINNG_14:GMIC_22A_SCDPT1!SCDPT1_083ENDINGG_14)</f>
        <v>0</v>
      </c>
      <c r="S190" s="3">
        <f>SUM(GMIC_22A_SCDPT1!SCDPT1_083BEGINNG_15:GMIC_22A_SCDPT1!SCDPT1_083ENDINGG_15)</f>
        <v>0</v>
      </c>
      <c r="T190" s="2"/>
      <c r="U190" s="2"/>
      <c r="V190" s="2"/>
      <c r="W190" s="3">
        <f>SUM(GMIC_22A_SCDPT1!SCDPT1_083BEGINNG_19:GMIC_22A_SCDPT1!SCDPT1_083ENDINGG_19)</f>
        <v>0</v>
      </c>
      <c r="X190" s="3">
        <f>SUM(GMIC_22A_SCDPT1!SCDPT1_083BEGINNG_20:GMIC_22A_SCDPT1!SCDPT1_083ENDINGG_20)</f>
        <v>0</v>
      </c>
      <c r="Y190" s="29"/>
      <c r="Z190" s="29"/>
      <c r="AA190" s="2"/>
      <c r="AB190" s="2"/>
      <c r="AC190" s="2"/>
      <c r="AD190" s="2"/>
      <c r="AE190" s="29"/>
      <c r="AF190" s="2"/>
      <c r="AG190" s="2"/>
      <c r="AH190" s="2"/>
      <c r="AI190" s="2"/>
      <c r="AJ190" s="2"/>
      <c r="AK190" s="2"/>
      <c r="AL190" s="2"/>
      <c r="AM190" s="2"/>
      <c r="AN190" s="2"/>
    </row>
    <row r="191" spans="2:40" x14ac:dyDescent="0.3">
      <c r="B191" s="7" t="s">
        <v>2744</v>
      </c>
      <c r="C191" s="1" t="s">
        <v>2744</v>
      </c>
      <c r="D191" s="8" t="s">
        <v>2744</v>
      </c>
      <c r="E191" s="1" t="s">
        <v>2744</v>
      </c>
      <c r="F191" s="1" t="s">
        <v>2744</v>
      </c>
      <c r="G191" s="1" t="s">
        <v>2744</v>
      </c>
      <c r="H191" s="1" t="s">
        <v>2744</v>
      </c>
      <c r="I191" s="1" t="s">
        <v>2744</v>
      </c>
      <c r="J191" s="1" t="s">
        <v>2744</v>
      </c>
      <c r="K191" s="1" t="s">
        <v>2744</v>
      </c>
      <c r="L191" s="1" t="s">
        <v>2744</v>
      </c>
      <c r="M191" s="1" t="s">
        <v>2744</v>
      </c>
      <c r="N191" s="1" t="s">
        <v>2744</v>
      </c>
      <c r="O191" s="1" t="s">
        <v>2744</v>
      </c>
      <c r="P191" s="1" t="s">
        <v>2744</v>
      </c>
      <c r="Q191" s="1" t="s">
        <v>2744</v>
      </c>
      <c r="R191" s="1" t="s">
        <v>2744</v>
      </c>
      <c r="S191" s="1" t="s">
        <v>2744</v>
      </c>
      <c r="T191" s="1" t="s">
        <v>2744</v>
      </c>
      <c r="U191" s="1" t="s">
        <v>2744</v>
      </c>
      <c r="V191" s="1" t="s">
        <v>2744</v>
      </c>
      <c r="W191" s="1" t="s">
        <v>2744</v>
      </c>
      <c r="X191" s="1" t="s">
        <v>2744</v>
      </c>
      <c r="Y191" s="22" t="s">
        <v>2744</v>
      </c>
      <c r="Z191" s="22" t="s">
        <v>2744</v>
      </c>
      <c r="AA191" s="1" t="s">
        <v>2744</v>
      </c>
      <c r="AB191" s="1" t="s">
        <v>2744</v>
      </c>
      <c r="AC191" s="1" t="s">
        <v>2744</v>
      </c>
      <c r="AD191" s="1" t="s">
        <v>2744</v>
      </c>
      <c r="AE191" s="22" t="s">
        <v>2744</v>
      </c>
      <c r="AF191" s="1" t="s">
        <v>2744</v>
      </c>
      <c r="AG191" s="1" t="s">
        <v>2744</v>
      </c>
      <c r="AH191" s="1" t="s">
        <v>2744</v>
      </c>
      <c r="AI191" s="1" t="s">
        <v>2744</v>
      </c>
      <c r="AJ191" s="1" t="s">
        <v>2744</v>
      </c>
      <c r="AK191" s="1" t="s">
        <v>2744</v>
      </c>
      <c r="AL191" s="1" t="s">
        <v>2744</v>
      </c>
      <c r="AM191" s="1" t="s">
        <v>2744</v>
      </c>
      <c r="AN191" s="1" t="s">
        <v>2744</v>
      </c>
    </row>
    <row r="192" spans="2:40" x14ac:dyDescent="0.3">
      <c r="B192" s="18" t="s">
        <v>522</v>
      </c>
      <c r="C192" s="25" t="s">
        <v>3897</v>
      </c>
      <c r="D192" s="15" t="s">
        <v>2</v>
      </c>
      <c r="E192" s="37" t="s">
        <v>2</v>
      </c>
      <c r="F192" s="20" t="s">
        <v>2</v>
      </c>
      <c r="G192" s="40" t="s">
        <v>2</v>
      </c>
      <c r="H192" s="32" t="s">
        <v>2</v>
      </c>
      <c r="I192" s="33" t="s">
        <v>2</v>
      </c>
      <c r="J192" s="38" t="s">
        <v>2</v>
      </c>
      <c r="K192" s="4"/>
      <c r="L192" s="41"/>
      <c r="M192" s="4"/>
      <c r="N192" s="4"/>
      <c r="O192" s="4"/>
      <c r="P192" s="4"/>
      <c r="Q192" s="4"/>
      <c r="R192" s="4"/>
      <c r="S192" s="4"/>
      <c r="T192" s="23"/>
      <c r="U192" s="23"/>
      <c r="V192" s="5" t="s">
        <v>2</v>
      </c>
      <c r="W192" s="4"/>
      <c r="X192" s="4"/>
      <c r="Y192" s="10"/>
      <c r="Z192" s="10"/>
      <c r="AA192" s="45" t="s">
        <v>2</v>
      </c>
      <c r="AB192" s="31" t="s">
        <v>2</v>
      </c>
      <c r="AC192" s="5" t="s">
        <v>2</v>
      </c>
      <c r="AD192" s="43" t="s">
        <v>2</v>
      </c>
      <c r="AE192" s="10"/>
      <c r="AF192" s="23"/>
      <c r="AG192" s="6"/>
      <c r="AH192" s="5" t="s">
        <v>2</v>
      </c>
      <c r="AI192" s="5" t="s">
        <v>2</v>
      </c>
      <c r="AJ192" s="5" t="s">
        <v>2</v>
      </c>
      <c r="AK192" s="21" t="s">
        <v>2</v>
      </c>
      <c r="AL192" s="39" t="s">
        <v>2</v>
      </c>
      <c r="AM192" s="26" t="s">
        <v>2</v>
      </c>
      <c r="AN192" s="34" t="s">
        <v>2</v>
      </c>
    </row>
    <row r="193" spans="2:40" x14ac:dyDescent="0.3">
      <c r="B193" s="7" t="s">
        <v>2744</v>
      </c>
      <c r="C193" s="1" t="s">
        <v>2744</v>
      </c>
      <c r="D193" s="8" t="s">
        <v>2744</v>
      </c>
      <c r="E193" s="1" t="s">
        <v>2744</v>
      </c>
      <c r="F193" s="1" t="s">
        <v>2744</v>
      </c>
      <c r="G193" s="1" t="s">
        <v>2744</v>
      </c>
      <c r="H193" s="1" t="s">
        <v>2744</v>
      </c>
      <c r="I193" s="1" t="s">
        <v>2744</v>
      </c>
      <c r="J193" s="1" t="s">
        <v>2744</v>
      </c>
      <c r="K193" s="1" t="s">
        <v>2744</v>
      </c>
      <c r="L193" s="1" t="s">
        <v>2744</v>
      </c>
      <c r="M193" s="1" t="s">
        <v>2744</v>
      </c>
      <c r="N193" s="1" t="s">
        <v>2744</v>
      </c>
      <c r="O193" s="1" t="s">
        <v>2744</v>
      </c>
      <c r="P193" s="1" t="s">
        <v>2744</v>
      </c>
      <c r="Q193" s="1" t="s">
        <v>2744</v>
      </c>
      <c r="R193" s="1" t="s">
        <v>2744</v>
      </c>
      <c r="S193" s="1" t="s">
        <v>2744</v>
      </c>
      <c r="T193" s="1" t="s">
        <v>2744</v>
      </c>
      <c r="U193" s="1" t="s">
        <v>2744</v>
      </c>
      <c r="V193" s="1" t="s">
        <v>2744</v>
      </c>
      <c r="W193" s="1" t="s">
        <v>2744</v>
      </c>
      <c r="X193" s="1" t="s">
        <v>2744</v>
      </c>
      <c r="Y193" s="22" t="s">
        <v>2744</v>
      </c>
      <c r="Z193" s="22" t="s">
        <v>2744</v>
      </c>
      <c r="AA193" s="1" t="s">
        <v>2744</v>
      </c>
      <c r="AB193" s="1" t="s">
        <v>2744</v>
      </c>
      <c r="AC193" s="1" t="s">
        <v>2744</v>
      </c>
      <c r="AD193" s="1" t="s">
        <v>2744</v>
      </c>
      <c r="AE193" s="22" t="s">
        <v>2744</v>
      </c>
      <c r="AF193" s="1" t="s">
        <v>2744</v>
      </c>
      <c r="AG193" s="22" t="s">
        <v>2744</v>
      </c>
      <c r="AH193" s="1" t="s">
        <v>2744</v>
      </c>
      <c r="AI193" s="1" t="s">
        <v>2744</v>
      </c>
      <c r="AJ193" s="1" t="s">
        <v>2744</v>
      </c>
      <c r="AK193" s="1" t="s">
        <v>2744</v>
      </c>
      <c r="AL193" s="1" t="s">
        <v>2744</v>
      </c>
      <c r="AM193" s="1" t="s">
        <v>2744</v>
      </c>
      <c r="AN193" s="1" t="s">
        <v>2744</v>
      </c>
    </row>
    <row r="194" spans="2:40" ht="56" x14ac:dyDescent="0.3">
      <c r="B194" s="19" t="s">
        <v>1427</v>
      </c>
      <c r="C194" s="17" t="s">
        <v>290</v>
      </c>
      <c r="D194" s="16"/>
      <c r="E194" s="2"/>
      <c r="F194" s="2"/>
      <c r="G194" s="2"/>
      <c r="H194" s="2"/>
      <c r="I194" s="2"/>
      <c r="J194" s="2"/>
      <c r="K194" s="3">
        <f>SUM(GMIC_22A_SCDPT1!SCDPT1_084BEGINNG_7:GMIC_22A_SCDPT1!SCDPT1_084ENDINGG_7)</f>
        <v>0</v>
      </c>
      <c r="L194" s="2"/>
      <c r="M194" s="3">
        <f>SUM(GMIC_22A_SCDPT1!SCDPT1_084BEGINNG_9:GMIC_22A_SCDPT1!SCDPT1_084ENDINGG_9)</f>
        <v>0</v>
      </c>
      <c r="N194" s="3">
        <f>SUM(GMIC_22A_SCDPT1!SCDPT1_084BEGINNG_10:GMIC_22A_SCDPT1!SCDPT1_084ENDINGG_10)</f>
        <v>0</v>
      </c>
      <c r="O194" s="3">
        <f>SUM(GMIC_22A_SCDPT1!SCDPT1_084BEGINNG_11:GMIC_22A_SCDPT1!SCDPT1_084ENDINGG_11)</f>
        <v>0</v>
      </c>
      <c r="P194" s="3">
        <f>SUM(GMIC_22A_SCDPT1!SCDPT1_084BEGINNG_12:GMIC_22A_SCDPT1!SCDPT1_084ENDINGG_12)</f>
        <v>0</v>
      </c>
      <c r="Q194" s="3">
        <f>SUM(GMIC_22A_SCDPT1!SCDPT1_084BEGINNG_13:GMIC_22A_SCDPT1!SCDPT1_084ENDINGG_13)</f>
        <v>0</v>
      </c>
      <c r="R194" s="3">
        <f>SUM(GMIC_22A_SCDPT1!SCDPT1_084BEGINNG_14:GMIC_22A_SCDPT1!SCDPT1_084ENDINGG_14)</f>
        <v>0</v>
      </c>
      <c r="S194" s="3">
        <f>SUM(GMIC_22A_SCDPT1!SCDPT1_084BEGINNG_15:GMIC_22A_SCDPT1!SCDPT1_084ENDINGG_15)</f>
        <v>0</v>
      </c>
      <c r="T194" s="2"/>
      <c r="U194" s="2"/>
      <c r="V194" s="2"/>
      <c r="W194" s="3">
        <f>SUM(GMIC_22A_SCDPT1!SCDPT1_084BEGINNG_19:GMIC_22A_SCDPT1!SCDPT1_084ENDINGG_19)</f>
        <v>0</v>
      </c>
      <c r="X194" s="3">
        <f>SUM(GMIC_22A_SCDPT1!SCDPT1_084BEGINNG_20:GMIC_22A_SCDPT1!SCDPT1_084ENDINGG_20)</f>
        <v>0</v>
      </c>
      <c r="Y194" s="29"/>
      <c r="Z194" s="29"/>
      <c r="AA194" s="2"/>
      <c r="AB194" s="2"/>
      <c r="AC194" s="2"/>
      <c r="AD194" s="2"/>
      <c r="AE194" s="29"/>
      <c r="AF194" s="2"/>
      <c r="AG194" s="2"/>
      <c r="AH194" s="2"/>
      <c r="AI194" s="2"/>
      <c r="AJ194" s="2"/>
      <c r="AK194" s="2"/>
      <c r="AL194" s="2"/>
      <c r="AM194" s="2"/>
      <c r="AN194" s="2"/>
    </row>
    <row r="195" spans="2:40" ht="28" x14ac:dyDescent="0.3">
      <c r="B195" s="19" t="s">
        <v>523</v>
      </c>
      <c r="C195" s="17" t="s">
        <v>821</v>
      </c>
      <c r="D195" s="16"/>
      <c r="E195" s="2"/>
      <c r="F195" s="2"/>
      <c r="G195" s="2"/>
      <c r="H195" s="2"/>
      <c r="I195" s="2"/>
      <c r="J195" s="2"/>
      <c r="K195" s="3">
        <f>GMIC_22A_SCDPT1!SCDPT1_0819999999_7+GMIC_22A_SCDPT1!SCDPT1_0829999999_7+GMIC_22A_SCDPT1!SCDPT1_0839999999_7+GMIC_22A_SCDPT1!SCDPT1_0849999999_7</f>
        <v>335163200</v>
      </c>
      <c r="L195" s="2"/>
      <c r="M195" s="3">
        <f>GMIC_22A_SCDPT1!SCDPT1_0819999999_9+GMIC_22A_SCDPT1!SCDPT1_0829999999_9+GMIC_22A_SCDPT1!SCDPT1_0839999999_9+GMIC_22A_SCDPT1!SCDPT1_0849999999_9</f>
        <v>270290391</v>
      </c>
      <c r="N195" s="3">
        <f>GMIC_22A_SCDPT1!SCDPT1_0819999999_10+GMIC_22A_SCDPT1!SCDPT1_0829999999_10+GMIC_22A_SCDPT1!SCDPT1_0839999999_10+GMIC_22A_SCDPT1!SCDPT1_0849999999_10</f>
        <v>336695000</v>
      </c>
      <c r="O195" s="3">
        <f>GMIC_22A_SCDPT1!SCDPT1_0819999999_11+GMIC_22A_SCDPT1!SCDPT1_0829999999_11+GMIC_22A_SCDPT1!SCDPT1_0839999999_11+GMIC_22A_SCDPT1!SCDPT1_0849999999_11</f>
        <v>336264416</v>
      </c>
      <c r="P195" s="3">
        <f>GMIC_22A_SCDPT1!SCDPT1_0819999999_12+GMIC_22A_SCDPT1!SCDPT1_0829999999_12+GMIC_22A_SCDPT1!SCDPT1_0839999999_12+GMIC_22A_SCDPT1!SCDPT1_0849999999_12</f>
        <v>0</v>
      </c>
      <c r="Q195" s="3">
        <f>GMIC_22A_SCDPT1!SCDPT1_0819999999_13+GMIC_22A_SCDPT1!SCDPT1_0829999999_13+GMIC_22A_SCDPT1!SCDPT1_0839999999_13+GMIC_22A_SCDPT1!SCDPT1_0849999999_13</f>
        <v>199554</v>
      </c>
      <c r="R195" s="3">
        <f>GMIC_22A_SCDPT1!SCDPT1_0819999999_14+GMIC_22A_SCDPT1!SCDPT1_0829999999_14+GMIC_22A_SCDPT1!SCDPT1_0839999999_14+GMIC_22A_SCDPT1!SCDPT1_0849999999_14</f>
        <v>0</v>
      </c>
      <c r="S195" s="3">
        <f>GMIC_22A_SCDPT1!SCDPT1_0819999999_15+GMIC_22A_SCDPT1!SCDPT1_0829999999_15+GMIC_22A_SCDPT1!SCDPT1_0839999999_15+GMIC_22A_SCDPT1!SCDPT1_0849999999_15</f>
        <v>0</v>
      </c>
      <c r="T195" s="2"/>
      <c r="U195" s="2"/>
      <c r="V195" s="2"/>
      <c r="W195" s="3">
        <f>GMIC_22A_SCDPT1!SCDPT1_0819999999_19+GMIC_22A_SCDPT1!SCDPT1_0829999999_19+GMIC_22A_SCDPT1!SCDPT1_0839999999_19+GMIC_22A_SCDPT1!SCDPT1_0849999999_19</f>
        <v>1589275</v>
      </c>
      <c r="X195" s="3">
        <f>GMIC_22A_SCDPT1!SCDPT1_0819999999_20+GMIC_22A_SCDPT1!SCDPT1_0829999999_20+GMIC_22A_SCDPT1!SCDPT1_0839999999_20+GMIC_22A_SCDPT1!SCDPT1_0849999999_20</f>
        <v>7191200</v>
      </c>
      <c r="Y195" s="29"/>
      <c r="Z195" s="29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</row>
    <row r="196" spans="2:40" x14ac:dyDescent="0.3">
      <c r="B196" s="7" t="s">
        <v>2744</v>
      </c>
      <c r="C196" s="1" t="s">
        <v>2744</v>
      </c>
      <c r="D196" s="8" t="s">
        <v>2744</v>
      </c>
      <c r="E196" s="1" t="s">
        <v>2744</v>
      </c>
      <c r="F196" s="1" t="s">
        <v>2744</v>
      </c>
      <c r="G196" s="1" t="s">
        <v>2744</v>
      </c>
      <c r="H196" s="1" t="s">
        <v>2744</v>
      </c>
      <c r="I196" s="1" t="s">
        <v>2744</v>
      </c>
      <c r="J196" s="1" t="s">
        <v>2744</v>
      </c>
      <c r="K196" s="1" t="s">
        <v>2744</v>
      </c>
      <c r="L196" s="1" t="s">
        <v>2744</v>
      </c>
      <c r="M196" s="1" t="s">
        <v>2744</v>
      </c>
      <c r="N196" s="1" t="s">
        <v>2744</v>
      </c>
      <c r="O196" s="1" t="s">
        <v>2744</v>
      </c>
      <c r="P196" s="1" t="s">
        <v>2744</v>
      </c>
      <c r="Q196" s="1" t="s">
        <v>2744</v>
      </c>
      <c r="R196" s="1" t="s">
        <v>2744</v>
      </c>
      <c r="S196" s="1" t="s">
        <v>2744</v>
      </c>
      <c r="T196" s="1" t="s">
        <v>2744</v>
      </c>
      <c r="U196" s="1" t="s">
        <v>2744</v>
      </c>
      <c r="V196" s="1" t="s">
        <v>2744</v>
      </c>
      <c r="W196" s="1" t="s">
        <v>2744</v>
      </c>
      <c r="X196" s="1" t="s">
        <v>2744</v>
      </c>
      <c r="Y196" s="22" t="s">
        <v>2744</v>
      </c>
      <c r="Z196" s="22" t="s">
        <v>2744</v>
      </c>
      <c r="AA196" s="1" t="s">
        <v>2744</v>
      </c>
      <c r="AB196" s="1" t="s">
        <v>2744</v>
      </c>
      <c r="AC196" s="1" t="s">
        <v>2744</v>
      </c>
      <c r="AD196" s="1" t="s">
        <v>2744</v>
      </c>
      <c r="AE196" s="22" t="s">
        <v>2744</v>
      </c>
      <c r="AF196" s="1" t="s">
        <v>2744</v>
      </c>
      <c r="AG196" s="1" t="s">
        <v>2744</v>
      </c>
      <c r="AH196" s="1" t="s">
        <v>2744</v>
      </c>
      <c r="AI196" s="1" t="s">
        <v>2744</v>
      </c>
      <c r="AJ196" s="1" t="s">
        <v>2744</v>
      </c>
      <c r="AK196" s="1" t="s">
        <v>2744</v>
      </c>
      <c r="AL196" s="1" t="s">
        <v>2744</v>
      </c>
      <c r="AM196" s="1" t="s">
        <v>2744</v>
      </c>
      <c r="AN196" s="1" t="s">
        <v>2744</v>
      </c>
    </row>
    <row r="197" spans="2:40" x14ac:dyDescent="0.3">
      <c r="B197" s="18" t="s">
        <v>1648</v>
      </c>
      <c r="C197" s="47" t="s">
        <v>1428</v>
      </c>
      <c r="D197" s="15" t="s">
        <v>1649</v>
      </c>
      <c r="E197" s="37" t="s">
        <v>2</v>
      </c>
      <c r="F197" s="20" t="s">
        <v>2</v>
      </c>
      <c r="G197" s="40" t="s">
        <v>2745</v>
      </c>
      <c r="H197" s="32" t="s">
        <v>3894</v>
      </c>
      <c r="I197" s="33" t="s">
        <v>3408</v>
      </c>
      <c r="J197" s="38" t="s">
        <v>270</v>
      </c>
      <c r="K197" s="4">
        <v>4784250</v>
      </c>
      <c r="L197" s="41">
        <v>96.966999999999999</v>
      </c>
      <c r="M197" s="4">
        <v>4848350</v>
      </c>
      <c r="N197" s="4">
        <v>5000000</v>
      </c>
      <c r="O197" s="4">
        <v>4914259</v>
      </c>
      <c r="P197" s="4">
        <v>0</v>
      </c>
      <c r="Q197" s="4">
        <v>33648</v>
      </c>
      <c r="R197" s="4">
        <v>0</v>
      </c>
      <c r="S197" s="4">
        <v>0</v>
      </c>
      <c r="T197" s="23">
        <v>3.6</v>
      </c>
      <c r="U197" s="23">
        <v>4.37</v>
      </c>
      <c r="V197" s="5" t="s">
        <v>3409</v>
      </c>
      <c r="W197" s="4">
        <v>23500</v>
      </c>
      <c r="X197" s="4">
        <v>180000</v>
      </c>
      <c r="Y197" s="14">
        <v>43417</v>
      </c>
      <c r="Z197" s="14">
        <v>45791</v>
      </c>
      <c r="AA197" s="2"/>
      <c r="AB197" s="31" t="s">
        <v>3892</v>
      </c>
      <c r="AC197" s="5" t="s">
        <v>4178</v>
      </c>
      <c r="AD197" s="2"/>
      <c r="AE197" s="14">
        <v>45702</v>
      </c>
      <c r="AF197" s="23">
        <v>100</v>
      </c>
      <c r="AG197" s="10"/>
      <c r="AH197" s="5" t="s">
        <v>1187</v>
      </c>
      <c r="AI197" s="5" t="s">
        <v>1649</v>
      </c>
      <c r="AJ197" s="5" t="s">
        <v>2</v>
      </c>
      <c r="AK197" s="21" t="s">
        <v>2</v>
      </c>
      <c r="AL197" s="39" t="s">
        <v>3894</v>
      </c>
      <c r="AM197" s="26" t="s">
        <v>4179</v>
      </c>
      <c r="AN197" s="34" t="s">
        <v>1650</v>
      </c>
    </row>
    <row r="198" spans="2:40" x14ac:dyDescent="0.3">
      <c r="B198" s="18" t="s">
        <v>2770</v>
      </c>
      <c r="C198" s="47" t="s">
        <v>1188</v>
      </c>
      <c r="D198" s="15" t="s">
        <v>1649</v>
      </c>
      <c r="E198" s="68" t="s">
        <v>2</v>
      </c>
      <c r="F198" s="55" t="s">
        <v>2</v>
      </c>
      <c r="G198" s="40" t="s">
        <v>2745</v>
      </c>
      <c r="H198" s="71" t="s">
        <v>3894</v>
      </c>
      <c r="I198" s="67" t="s">
        <v>3408</v>
      </c>
      <c r="J198" s="73" t="s">
        <v>270</v>
      </c>
      <c r="K198" s="4">
        <v>6992751</v>
      </c>
      <c r="L198" s="41">
        <v>93.296999999999997</v>
      </c>
      <c r="M198" s="4">
        <v>6530790</v>
      </c>
      <c r="N198" s="4">
        <v>7000000</v>
      </c>
      <c r="O198" s="4">
        <v>6995167</v>
      </c>
      <c r="P198" s="4">
        <v>0</v>
      </c>
      <c r="Q198" s="4">
        <v>1156</v>
      </c>
      <c r="R198" s="4">
        <v>0</v>
      </c>
      <c r="S198" s="4">
        <v>0</v>
      </c>
      <c r="T198" s="23">
        <v>2.95</v>
      </c>
      <c r="U198" s="23">
        <v>2.9689999999999999</v>
      </c>
      <c r="V198" s="5" t="s">
        <v>3409</v>
      </c>
      <c r="W198" s="4">
        <v>22944</v>
      </c>
      <c r="X198" s="4">
        <v>206500</v>
      </c>
      <c r="Y198" s="14">
        <v>44154</v>
      </c>
      <c r="Z198" s="14">
        <v>46347</v>
      </c>
      <c r="AA198" s="2"/>
      <c r="AB198" s="69" t="s">
        <v>3892</v>
      </c>
      <c r="AC198" s="5" t="s">
        <v>4178</v>
      </c>
      <c r="AD198" s="2"/>
      <c r="AE198" s="14">
        <v>46286</v>
      </c>
      <c r="AF198" s="23">
        <v>100</v>
      </c>
      <c r="AG198" s="6"/>
      <c r="AH198" s="5" t="s">
        <v>1187</v>
      </c>
      <c r="AI198" s="5" t="s">
        <v>1649</v>
      </c>
      <c r="AJ198" s="5" t="s">
        <v>2</v>
      </c>
      <c r="AK198" s="21" t="s">
        <v>2</v>
      </c>
      <c r="AL198" s="72" t="s">
        <v>3894</v>
      </c>
      <c r="AM198" s="54" t="s">
        <v>4179</v>
      </c>
      <c r="AN198" s="34" t="s">
        <v>1650</v>
      </c>
    </row>
    <row r="199" spans="2:40" x14ac:dyDescent="0.3">
      <c r="B199" s="18" t="s">
        <v>3913</v>
      </c>
      <c r="C199" s="47" t="s">
        <v>1944</v>
      </c>
      <c r="D199" s="15" t="s">
        <v>1429</v>
      </c>
      <c r="E199" s="68" t="s">
        <v>2</v>
      </c>
      <c r="F199" s="55" t="s">
        <v>2</v>
      </c>
      <c r="G199" s="40" t="s">
        <v>2745</v>
      </c>
      <c r="H199" s="71" t="s">
        <v>2745</v>
      </c>
      <c r="I199" s="67" t="s">
        <v>287</v>
      </c>
      <c r="J199" s="73" t="s">
        <v>270</v>
      </c>
      <c r="K199" s="4">
        <v>15341200</v>
      </c>
      <c r="L199" s="41">
        <v>96.602999999999994</v>
      </c>
      <c r="M199" s="4">
        <v>15217871</v>
      </c>
      <c r="N199" s="4">
        <v>15753000</v>
      </c>
      <c r="O199" s="4">
        <v>15598091</v>
      </c>
      <c r="P199" s="4">
        <v>0</v>
      </c>
      <c r="Q199" s="4">
        <v>65993</v>
      </c>
      <c r="R199" s="4">
        <v>0</v>
      </c>
      <c r="S199" s="4">
        <v>0</v>
      </c>
      <c r="T199" s="23">
        <v>3.15</v>
      </c>
      <c r="U199" s="23">
        <v>3.617</v>
      </c>
      <c r="V199" s="5" t="s">
        <v>10</v>
      </c>
      <c r="W199" s="4">
        <v>146109</v>
      </c>
      <c r="X199" s="4">
        <v>496220</v>
      </c>
      <c r="Y199" s="14">
        <v>43551</v>
      </c>
      <c r="Z199" s="14">
        <v>45731</v>
      </c>
      <c r="AA199" s="2"/>
      <c r="AB199" s="69" t="s">
        <v>3892</v>
      </c>
      <c r="AC199" s="5" t="s">
        <v>4178</v>
      </c>
      <c r="AD199" s="2"/>
      <c r="AE199" s="10"/>
      <c r="AF199" s="23"/>
      <c r="AG199" s="6"/>
      <c r="AH199" s="5" t="s">
        <v>2771</v>
      </c>
      <c r="AI199" s="5" t="s">
        <v>1429</v>
      </c>
      <c r="AJ199" s="5" t="s">
        <v>2</v>
      </c>
      <c r="AK199" s="21" t="s">
        <v>2</v>
      </c>
      <c r="AL199" s="72" t="s">
        <v>3894</v>
      </c>
      <c r="AM199" s="54" t="s">
        <v>4179</v>
      </c>
      <c r="AN199" s="34" t="s">
        <v>819</v>
      </c>
    </row>
    <row r="200" spans="2:40" x14ac:dyDescent="0.3">
      <c r="B200" s="18" t="s">
        <v>524</v>
      </c>
      <c r="C200" s="47" t="s">
        <v>2555</v>
      </c>
      <c r="D200" s="15" t="s">
        <v>291</v>
      </c>
      <c r="E200" s="68" t="s">
        <v>2</v>
      </c>
      <c r="F200" s="55" t="s">
        <v>2</v>
      </c>
      <c r="G200" s="40" t="s">
        <v>2745</v>
      </c>
      <c r="H200" s="71" t="s">
        <v>3894</v>
      </c>
      <c r="I200" s="67" t="s">
        <v>8</v>
      </c>
      <c r="J200" s="73" t="s">
        <v>270</v>
      </c>
      <c r="K200" s="4">
        <v>4708350</v>
      </c>
      <c r="L200" s="41">
        <v>88.146000000000001</v>
      </c>
      <c r="M200" s="4">
        <v>4407300</v>
      </c>
      <c r="N200" s="4">
        <v>5000000</v>
      </c>
      <c r="O200" s="4">
        <v>4727213</v>
      </c>
      <c r="P200" s="4">
        <v>0</v>
      </c>
      <c r="Q200" s="4">
        <v>18863</v>
      </c>
      <c r="R200" s="4">
        <v>0</v>
      </c>
      <c r="S200" s="4">
        <v>0</v>
      </c>
      <c r="T200" s="23">
        <v>3.9</v>
      </c>
      <c r="U200" s="23">
        <v>4.7960000000000003</v>
      </c>
      <c r="V200" s="5" t="s">
        <v>3895</v>
      </c>
      <c r="W200" s="4">
        <v>41167</v>
      </c>
      <c r="X200" s="4">
        <v>97500</v>
      </c>
      <c r="Y200" s="14">
        <v>44701</v>
      </c>
      <c r="Z200" s="14">
        <v>47588</v>
      </c>
      <c r="AA200" s="2"/>
      <c r="AB200" s="69" t="s">
        <v>3892</v>
      </c>
      <c r="AC200" s="5" t="s">
        <v>4178</v>
      </c>
      <c r="AD200" s="2"/>
      <c r="AE200" s="14">
        <v>47498</v>
      </c>
      <c r="AF200" s="23">
        <v>100</v>
      </c>
      <c r="AG200" s="6"/>
      <c r="AH200" s="5" t="s">
        <v>3436</v>
      </c>
      <c r="AI200" s="5" t="s">
        <v>291</v>
      </c>
      <c r="AJ200" s="5" t="s">
        <v>2</v>
      </c>
      <c r="AK200" s="21" t="s">
        <v>2</v>
      </c>
      <c r="AL200" s="72" t="s">
        <v>3894</v>
      </c>
      <c r="AM200" s="54" t="s">
        <v>4179</v>
      </c>
      <c r="AN200" s="34" t="s">
        <v>1189</v>
      </c>
    </row>
    <row r="201" spans="2:40" x14ac:dyDescent="0.3">
      <c r="B201" s="18" t="s">
        <v>1651</v>
      </c>
      <c r="C201" s="47" t="s">
        <v>1430</v>
      </c>
      <c r="D201" s="15" t="s">
        <v>291</v>
      </c>
      <c r="E201" s="68" t="s">
        <v>2</v>
      </c>
      <c r="F201" s="55" t="s">
        <v>2</v>
      </c>
      <c r="G201" s="40" t="s">
        <v>2745</v>
      </c>
      <c r="H201" s="71" t="s">
        <v>3894</v>
      </c>
      <c r="I201" s="67" t="s">
        <v>8</v>
      </c>
      <c r="J201" s="73" t="s">
        <v>270</v>
      </c>
      <c r="K201" s="4">
        <v>10419433</v>
      </c>
      <c r="L201" s="41">
        <v>84.063000000000002</v>
      </c>
      <c r="M201" s="4">
        <v>8642517</v>
      </c>
      <c r="N201" s="4">
        <v>10281000</v>
      </c>
      <c r="O201" s="4">
        <v>10378669</v>
      </c>
      <c r="P201" s="4">
        <v>0</v>
      </c>
      <c r="Q201" s="4">
        <v>-20497</v>
      </c>
      <c r="R201" s="4">
        <v>0</v>
      </c>
      <c r="S201" s="4">
        <v>0</v>
      </c>
      <c r="T201" s="23">
        <v>1.75</v>
      </c>
      <c r="U201" s="23">
        <v>1.534</v>
      </c>
      <c r="V201" s="5" t="s">
        <v>3895</v>
      </c>
      <c r="W201" s="4">
        <v>44979</v>
      </c>
      <c r="X201" s="4">
        <v>179918</v>
      </c>
      <c r="Y201" s="14">
        <v>44231</v>
      </c>
      <c r="Z201" s="14">
        <v>46661</v>
      </c>
      <c r="AA201" s="2"/>
      <c r="AB201" s="69" t="s">
        <v>3892</v>
      </c>
      <c r="AC201" s="5" t="s">
        <v>4178</v>
      </c>
      <c r="AD201" s="2"/>
      <c r="AE201" s="14">
        <v>46600</v>
      </c>
      <c r="AF201" s="23">
        <v>100</v>
      </c>
      <c r="AG201" s="14">
        <v>46600</v>
      </c>
      <c r="AH201" s="5" t="s">
        <v>3436</v>
      </c>
      <c r="AI201" s="5" t="s">
        <v>291</v>
      </c>
      <c r="AJ201" s="5" t="s">
        <v>2</v>
      </c>
      <c r="AK201" s="21" t="s">
        <v>2</v>
      </c>
      <c r="AL201" s="72" t="s">
        <v>3894</v>
      </c>
      <c r="AM201" s="54" t="s">
        <v>4179</v>
      </c>
      <c r="AN201" s="34" t="s">
        <v>1189</v>
      </c>
    </row>
    <row r="202" spans="2:40" x14ac:dyDescent="0.3">
      <c r="B202" s="18" t="s">
        <v>2772</v>
      </c>
      <c r="C202" s="47" t="s">
        <v>3674</v>
      </c>
      <c r="D202" s="15" t="s">
        <v>292</v>
      </c>
      <c r="E202" s="68" t="s">
        <v>2</v>
      </c>
      <c r="F202" s="55" t="s">
        <v>2</v>
      </c>
      <c r="G202" s="40" t="s">
        <v>2745</v>
      </c>
      <c r="H202" s="71" t="s">
        <v>3894</v>
      </c>
      <c r="I202" s="67" t="s">
        <v>3408</v>
      </c>
      <c r="J202" s="73" t="s">
        <v>270</v>
      </c>
      <c r="K202" s="4">
        <v>5609990</v>
      </c>
      <c r="L202" s="41">
        <v>86.269000000000005</v>
      </c>
      <c r="M202" s="4">
        <v>5357305</v>
      </c>
      <c r="N202" s="4">
        <v>6210000</v>
      </c>
      <c r="O202" s="4">
        <v>5652472</v>
      </c>
      <c r="P202" s="4">
        <v>0</v>
      </c>
      <c r="Q202" s="4">
        <v>42482</v>
      </c>
      <c r="R202" s="4">
        <v>0</v>
      </c>
      <c r="S202" s="4">
        <v>0</v>
      </c>
      <c r="T202" s="23">
        <v>2.75</v>
      </c>
      <c r="U202" s="23">
        <v>4.306</v>
      </c>
      <c r="V202" s="5" t="s">
        <v>10</v>
      </c>
      <c r="W202" s="4">
        <v>50284</v>
      </c>
      <c r="X202" s="4">
        <v>85388</v>
      </c>
      <c r="Y202" s="14">
        <v>44706</v>
      </c>
      <c r="Z202" s="14">
        <v>47376</v>
      </c>
      <c r="AA202" s="2"/>
      <c r="AB202" s="69" t="s">
        <v>3892</v>
      </c>
      <c r="AC202" s="5" t="s">
        <v>4178</v>
      </c>
      <c r="AD202" s="2"/>
      <c r="AE202" s="14">
        <v>47284</v>
      </c>
      <c r="AF202" s="23">
        <v>100</v>
      </c>
      <c r="AG202" s="6"/>
      <c r="AH202" s="5" t="s">
        <v>1652</v>
      </c>
      <c r="AI202" s="5" t="s">
        <v>2303</v>
      </c>
      <c r="AJ202" s="5" t="s">
        <v>1190</v>
      </c>
      <c r="AK202" s="21" t="s">
        <v>2</v>
      </c>
      <c r="AL202" s="72" t="s">
        <v>3894</v>
      </c>
      <c r="AM202" s="54" t="s">
        <v>4179</v>
      </c>
      <c r="AN202" s="34" t="s">
        <v>1650</v>
      </c>
    </row>
    <row r="203" spans="2:40" x14ac:dyDescent="0.3">
      <c r="B203" s="18" t="s">
        <v>3914</v>
      </c>
      <c r="C203" s="47" t="s">
        <v>2556</v>
      </c>
      <c r="D203" s="15" t="s">
        <v>3915</v>
      </c>
      <c r="E203" s="68" t="s">
        <v>2</v>
      </c>
      <c r="F203" s="55" t="s">
        <v>2</v>
      </c>
      <c r="G203" s="40" t="s">
        <v>2745</v>
      </c>
      <c r="H203" s="71" t="s">
        <v>2745</v>
      </c>
      <c r="I203" s="67" t="s">
        <v>287</v>
      </c>
      <c r="J203" s="73" t="s">
        <v>270</v>
      </c>
      <c r="K203" s="4">
        <v>2497525</v>
      </c>
      <c r="L203" s="41">
        <v>89.164000000000001</v>
      </c>
      <c r="M203" s="4">
        <v>2229100</v>
      </c>
      <c r="N203" s="4">
        <v>2500000</v>
      </c>
      <c r="O203" s="4">
        <v>2498432</v>
      </c>
      <c r="P203" s="4">
        <v>0</v>
      </c>
      <c r="Q203" s="4">
        <v>341</v>
      </c>
      <c r="R203" s="4">
        <v>0</v>
      </c>
      <c r="S203" s="4">
        <v>0</v>
      </c>
      <c r="T203" s="23">
        <v>1.85</v>
      </c>
      <c r="U203" s="23">
        <v>1.865</v>
      </c>
      <c r="V203" s="5" t="s">
        <v>3409</v>
      </c>
      <c r="W203" s="4">
        <v>5910</v>
      </c>
      <c r="X203" s="4">
        <v>46250</v>
      </c>
      <c r="Y203" s="14">
        <v>43948</v>
      </c>
      <c r="Z203" s="14">
        <v>46522</v>
      </c>
      <c r="AA203" s="2"/>
      <c r="AB203" s="69" t="s">
        <v>3892</v>
      </c>
      <c r="AC203" s="5" t="s">
        <v>4178</v>
      </c>
      <c r="AD203" s="2"/>
      <c r="AE203" s="14">
        <v>46461</v>
      </c>
      <c r="AF203" s="23">
        <v>100</v>
      </c>
      <c r="AG203" s="10"/>
      <c r="AH203" s="5" t="s">
        <v>1653</v>
      </c>
      <c r="AI203" s="5" t="s">
        <v>3915</v>
      </c>
      <c r="AJ203" s="5" t="s">
        <v>2</v>
      </c>
      <c r="AK203" s="21" t="s">
        <v>2</v>
      </c>
      <c r="AL203" s="72" t="s">
        <v>3894</v>
      </c>
      <c r="AM203" s="54" t="s">
        <v>4179</v>
      </c>
      <c r="AN203" s="34" t="s">
        <v>819</v>
      </c>
    </row>
    <row r="204" spans="2:40" x14ac:dyDescent="0.3">
      <c r="B204" s="18" t="s">
        <v>822</v>
      </c>
      <c r="C204" s="47" t="s">
        <v>3079</v>
      </c>
      <c r="D204" s="15" t="s">
        <v>3080</v>
      </c>
      <c r="E204" s="68" t="s">
        <v>2</v>
      </c>
      <c r="F204" s="55" t="s">
        <v>2</v>
      </c>
      <c r="G204" s="40" t="s">
        <v>2745</v>
      </c>
      <c r="H204" s="71" t="s">
        <v>3894</v>
      </c>
      <c r="I204" s="67" t="s">
        <v>8</v>
      </c>
      <c r="J204" s="73" t="s">
        <v>270</v>
      </c>
      <c r="K204" s="4">
        <v>4995400</v>
      </c>
      <c r="L204" s="41">
        <v>97.938000000000002</v>
      </c>
      <c r="M204" s="4">
        <v>4896900</v>
      </c>
      <c r="N204" s="4">
        <v>5000000</v>
      </c>
      <c r="O204" s="4">
        <v>4996049</v>
      </c>
      <c r="P204" s="4">
        <v>0</v>
      </c>
      <c r="Q204" s="4">
        <v>649</v>
      </c>
      <c r="R204" s="4">
        <v>0</v>
      </c>
      <c r="S204" s="4">
        <v>0</v>
      </c>
      <c r="T204" s="23">
        <v>4.6500000000000004</v>
      </c>
      <c r="U204" s="23">
        <v>4.67</v>
      </c>
      <c r="V204" s="5" t="s">
        <v>3898</v>
      </c>
      <c r="W204" s="4">
        <v>19375</v>
      </c>
      <c r="X204" s="4">
        <v>127875</v>
      </c>
      <c r="Y204" s="14">
        <v>44691</v>
      </c>
      <c r="Z204" s="14">
        <v>46539</v>
      </c>
      <c r="AA204" s="2"/>
      <c r="AB204" s="69" t="s">
        <v>3892</v>
      </c>
      <c r="AC204" s="5" t="s">
        <v>4178</v>
      </c>
      <c r="AD204" s="2"/>
      <c r="AE204" s="14">
        <v>46508</v>
      </c>
      <c r="AF204" s="23">
        <v>100</v>
      </c>
      <c r="AG204" s="6"/>
      <c r="AH204" s="5" t="s">
        <v>36</v>
      </c>
      <c r="AI204" s="5" t="s">
        <v>3080</v>
      </c>
      <c r="AJ204" s="5" t="s">
        <v>2</v>
      </c>
      <c r="AK204" s="21" t="s">
        <v>2</v>
      </c>
      <c r="AL204" s="72" t="s">
        <v>3894</v>
      </c>
      <c r="AM204" s="54" t="s">
        <v>4179</v>
      </c>
      <c r="AN204" s="34" t="s">
        <v>1189</v>
      </c>
    </row>
    <row r="205" spans="2:40" x14ac:dyDescent="0.3">
      <c r="B205" s="18" t="s">
        <v>1945</v>
      </c>
      <c r="C205" s="47" t="s">
        <v>293</v>
      </c>
      <c r="D205" s="15" t="s">
        <v>823</v>
      </c>
      <c r="E205" s="68" t="s">
        <v>2</v>
      </c>
      <c r="F205" s="55" t="s">
        <v>2</v>
      </c>
      <c r="G205" s="40" t="s">
        <v>2745</v>
      </c>
      <c r="H205" s="71" t="s">
        <v>3894</v>
      </c>
      <c r="I205" s="67" t="s">
        <v>8</v>
      </c>
      <c r="J205" s="73" t="s">
        <v>270</v>
      </c>
      <c r="K205" s="4">
        <v>4997500</v>
      </c>
      <c r="L205" s="41">
        <v>99.305000000000007</v>
      </c>
      <c r="M205" s="4">
        <v>4965250</v>
      </c>
      <c r="N205" s="4">
        <v>5000000</v>
      </c>
      <c r="O205" s="4">
        <v>4999754</v>
      </c>
      <c r="P205" s="4">
        <v>0</v>
      </c>
      <c r="Q205" s="4">
        <v>525</v>
      </c>
      <c r="R205" s="4">
        <v>0</v>
      </c>
      <c r="S205" s="4">
        <v>0</v>
      </c>
      <c r="T205" s="23">
        <v>3.75</v>
      </c>
      <c r="U205" s="23">
        <v>3.7610000000000001</v>
      </c>
      <c r="V205" s="5" t="s">
        <v>3898</v>
      </c>
      <c r="W205" s="4">
        <v>8333</v>
      </c>
      <c r="X205" s="4">
        <v>187500</v>
      </c>
      <c r="Y205" s="14">
        <v>43257</v>
      </c>
      <c r="Z205" s="14">
        <v>45092</v>
      </c>
      <c r="AA205" s="2"/>
      <c r="AB205" s="69" t="s">
        <v>3892</v>
      </c>
      <c r="AC205" s="5" t="s">
        <v>7</v>
      </c>
      <c r="AD205" s="2"/>
      <c r="AE205" s="14">
        <v>45061</v>
      </c>
      <c r="AF205" s="23">
        <v>100</v>
      </c>
      <c r="AG205" s="10"/>
      <c r="AH205" s="5" t="s">
        <v>2</v>
      </c>
      <c r="AI205" s="5" t="s">
        <v>4210</v>
      </c>
      <c r="AJ205" s="5" t="s">
        <v>824</v>
      </c>
      <c r="AK205" s="21" t="s">
        <v>2</v>
      </c>
      <c r="AL205" s="72" t="s">
        <v>3894</v>
      </c>
      <c r="AM205" s="54" t="s">
        <v>4179</v>
      </c>
      <c r="AN205" s="34" t="s">
        <v>1189</v>
      </c>
    </row>
    <row r="206" spans="2:40" x14ac:dyDescent="0.3">
      <c r="B206" s="18" t="s">
        <v>3916</v>
      </c>
      <c r="C206" s="47" t="s">
        <v>1946</v>
      </c>
      <c r="D206" s="15" t="s">
        <v>4211</v>
      </c>
      <c r="E206" s="68" t="s">
        <v>2</v>
      </c>
      <c r="F206" s="55" t="s">
        <v>2</v>
      </c>
      <c r="G206" s="40" t="s">
        <v>2745</v>
      </c>
      <c r="H206" s="71" t="s">
        <v>825</v>
      </c>
      <c r="I206" s="67" t="s">
        <v>8</v>
      </c>
      <c r="J206" s="73" t="s">
        <v>270</v>
      </c>
      <c r="K206" s="4">
        <v>4500625</v>
      </c>
      <c r="L206" s="41">
        <v>82.275999999999996</v>
      </c>
      <c r="M206" s="4">
        <v>3702420</v>
      </c>
      <c r="N206" s="4">
        <v>4500000</v>
      </c>
      <c r="O206" s="4">
        <v>3702420</v>
      </c>
      <c r="P206" s="4">
        <v>-675610</v>
      </c>
      <c r="Q206" s="4">
        <v>-200</v>
      </c>
      <c r="R206" s="4">
        <v>0</v>
      </c>
      <c r="S206" s="4">
        <v>0</v>
      </c>
      <c r="T206" s="23">
        <v>3.75</v>
      </c>
      <c r="U206" s="23">
        <v>3.7450000000000001</v>
      </c>
      <c r="V206" s="5" t="s">
        <v>1916</v>
      </c>
      <c r="W206" s="4">
        <v>70781</v>
      </c>
      <c r="X206" s="4">
        <v>168750</v>
      </c>
      <c r="Y206" s="14">
        <v>44245</v>
      </c>
      <c r="Z206" s="14">
        <v>47878</v>
      </c>
      <c r="AA206" s="2"/>
      <c r="AB206" s="69" t="s">
        <v>3892</v>
      </c>
      <c r="AC206" s="5" t="s">
        <v>4178</v>
      </c>
      <c r="AD206" s="2"/>
      <c r="AE206" s="14">
        <v>46052</v>
      </c>
      <c r="AF206" s="23">
        <v>101.875</v>
      </c>
      <c r="AG206" s="6"/>
      <c r="AH206" s="5" t="s">
        <v>2773</v>
      </c>
      <c r="AI206" s="5" t="s">
        <v>1947</v>
      </c>
      <c r="AJ206" s="5" t="s">
        <v>824</v>
      </c>
      <c r="AK206" s="21" t="s">
        <v>2</v>
      </c>
      <c r="AL206" s="72" t="s">
        <v>3894</v>
      </c>
      <c r="AM206" s="54" t="s">
        <v>4179</v>
      </c>
      <c r="AN206" s="34" t="s">
        <v>525</v>
      </c>
    </row>
    <row r="207" spans="2:40" x14ac:dyDescent="0.3">
      <c r="B207" s="18" t="s">
        <v>526</v>
      </c>
      <c r="C207" s="47" t="s">
        <v>3437</v>
      </c>
      <c r="D207" s="15" t="s">
        <v>527</v>
      </c>
      <c r="E207" s="68" t="s">
        <v>2</v>
      </c>
      <c r="F207" s="55" t="s">
        <v>2</v>
      </c>
      <c r="G207" s="40" t="s">
        <v>2745</v>
      </c>
      <c r="H207" s="71" t="s">
        <v>3894</v>
      </c>
      <c r="I207" s="67" t="s">
        <v>8</v>
      </c>
      <c r="J207" s="73" t="s">
        <v>270</v>
      </c>
      <c r="K207" s="4">
        <v>3314490</v>
      </c>
      <c r="L207" s="41">
        <v>94.852999999999994</v>
      </c>
      <c r="M207" s="4">
        <v>3248715</v>
      </c>
      <c r="N207" s="4">
        <v>3425000</v>
      </c>
      <c r="O207" s="4">
        <v>3360507</v>
      </c>
      <c r="P207" s="4">
        <v>0</v>
      </c>
      <c r="Q207" s="4">
        <v>17708</v>
      </c>
      <c r="R207" s="4">
        <v>0</v>
      </c>
      <c r="S207" s="4">
        <v>0</v>
      </c>
      <c r="T207" s="23">
        <v>3.625</v>
      </c>
      <c r="U207" s="23">
        <v>4.2380000000000004</v>
      </c>
      <c r="V207" s="5" t="s">
        <v>3895</v>
      </c>
      <c r="W207" s="4">
        <v>21727</v>
      </c>
      <c r="X207" s="4">
        <v>124156</v>
      </c>
      <c r="Y207" s="14">
        <v>43944</v>
      </c>
      <c r="Z207" s="14">
        <v>46140</v>
      </c>
      <c r="AA207" s="2"/>
      <c r="AB207" s="69" t="s">
        <v>3892</v>
      </c>
      <c r="AC207" s="5" t="s">
        <v>4178</v>
      </c>
      <c r="AD207" s="2"/>
      <c r="AE207" s="14">
        <v>46050</v>
      </c>
      <c r="AF207" s="23">
        <v>100</v>
      </c>
      <c r="AG207" s="6"/>
      <c r="AH207" s="5" t="s">
        <v>2304</v>
      </c>
      <c r="AI207" s="5" t="s">
        <v>527</v>
      </c>
      <c r="AJ207" s="5" t="s">
        <v>2</v>
      </c>
      <c r="AK207" s="21" t="s">
        <v>2</v>
      </c>
      <c r="AL207" s="72" t="s">
        <v>3894</v>
      </c>
      <c r="AM207" s="54" t="s">
        <v>4179</v>
      </c>
      <c r="AN207" s="34" t="s">
        <v>1189</v>
      </c>
    </row>
    <row r="208" spans="2:40" x14ac:dyDescent="0.3">
      <c r="B208" s="18" t="s">
        <v>1654</v>
      </c>
      <c r="C208" s="47" t="s">
        <v>37</v>
      </c>
      <c r="D208" s="15" t="s">
        <v>1431</v>
      </c>
      <c r="E208" s="68" t="s">
        <v>2</v>
      </c>
      <c r="F208" s="55" t="s">
        <v>2</v>
      </c>
      <c r="G208" s="40" t="s">
        <v>3894</v>
      </c>
      <c r="H208" s="71" t="s">
        <v>2745</v>
      </c>
      <c r="I208" s="67" t="s">
        <v>287</v>
      </c>
      <c r="J208" s="73" t="s">
        <v>270</v>
      </c>
      <c r="K208" s="4">
        <v>9959900</v>
      </c>
      <c r="L208" s="41">
        <v>96.840999999999994</v>
      </c>
      <c r="M208" s="4">
        <v>9684100</v>
      </c>
      <c r="N208" s="4">
        <v>10000000</v>
      </c>
      <c r="O208" s="4">
        <v>9988433</v>
      </c>
      <c r="P208" s="4">
        <v>0</v>
      </c>
      <c r="Q208" s="4">
        <v>6051</v>
      </c>
      <c r="R208" s="4">
        <v>0</v>
      </c>
      <c r="S208" s="4">
        <v>0</v>
      </c>
      <c r="T208" s="23">
        <v>3</v>
      </c>
      <c r="U208" s="23">
        <v>3.0649999999999999</v>
      </c>
      <c r="V208" s="5" t="s">
        <v>3895</v>
      </c>
      <c r="W208" s="4">
        <v>50833</v>
      </c>
      <c r="X208" s="4">
        <v>300000</v>
      </c>
      <c r="Y208" s="14">
        <v>43110</v>
      </c>
      <c r="Z208" s="14">
        <v>45595</v>
      </c>
      <c r="AA208" s="2"/>
      <c r="AB208" s="69" t="s">
        <v>3892</v>
      </c>
      <c r="AC208" s="5" t="s">
        <v>4178</v>
      </c>
      <c r="AD208" s="2"/>
      <c r="AE208" s="14">
        <v>45564</v>
      </c>
      <c r="AF208" s="23">
        <v>100</v>
      </c>
      <c r="AG208" s="10"/>
      <c r="AH208" s="5" t="s">
        <v>294</v>
      </c>
      <c r="AI208" s="5" t="s">
        <v>1431</v>
      </c>
      <c r="AJ208" s="5" t="s">
        <v>2</v>
      </c>
      <c r="AK208" s="21" t="s">
        <v>2</v>
      </c>
      <c r="AL208" s="72" t="s">
        <v>3894</v>
      </c>
      <c r="AM208" s="54" t="s">
        <v>4179</v>
      </c>
      <c r="AN208" s="34" t="s">
        <v>819</v>
      </c>
    </row>
    <row r="209" spans="2:40" x14ac:dyDescent="0.3">
      <c r="B209" s="18" t="s">
        <v>2774</v>
      </c>
      <c r="C209" s="47" t="s">
        <v>38</v>
      </c>
      <c r="D209" s="15" t="s">
        <v>1431</v>
      </c>
      <c r="E209" s="68" t="s">
        <v>2</v>
      </c>
      <c r="F209" s="55" t="s">
        <v>2</v>
      </c>
      <c r="G209" s="40" t="s">
        <v>3894</v>
      </c>
      <c r="H209" s="71" t="s">
        <v>2745</v>
      </c>
      <c r="I209" s="67" t="s">
        <v>287</v>
      </c>
      <c r="J209" s="73" t="s">
        <v>270</v>
      </c>
      <c r="K209" s="4">
        <v>4995450</v>
      </c>
      <c r="L209" s="41">
        <v>99.778999999999996</v>
      </c>
      <c r="M209" s="4">
        <v>4988950</v>
      </c>
      <c r="N209" s="4">
        <v>5000000</v>
      </c>
      <c r="O209" s="4">
        <v>4999847</v>
      </c>
      <c r="P209" s="4">
        <v>0</v>
      </c>
      <c r="Q209" s="4">
        <v>968</v>
      </c>
      <c r="R209" s="4">
        <v>0</v>
      </c>
      <c r="S209" s="4">
        <v>0</v>
      </c>
      <c r="T209" s="23">
        <v>3.4</v>
      </c>
      <c r="U209" s="23">
        <v>3.42</v>
      </c>
      <c r="V209" s="5" t="s">
        <v>268</v>
      </c>
      <c r="W209" s="4">
        <v>58556</v>
      </c>
      <c r="X209" s="4">
        <v>170000</v>
      </c>
      <c r="Y209" s="14">
        <v>43153</v>
      </c>
      <c r="Z209" s="14">
        <v>44984</v>
      </c>
      <c r="AA209" s="2"/>
      <c r="AB209" s="69" t="s">
        <v>3892</v>
      </c>
      <c r="AC209" s="5" t="s">
        <v>4178</v>
      </c>
      <c r="AD209" s="2"/>
      <c r="AE209" s="14">
        <v>44953</v>
      </c>
      <c r="AF209" s="23">
        <v>100</v>
      </c>
      <c r="AG209" s="6"/>
      <c r="AH209" s="5" t="s">
        <v>294</v>
      </c>
      <c r="AI209" s="5" t="s">
        <v>1431</v>
      </c>
      <c r="AJ209" s="5" t="s">
        <v>2</v>
      </c>
      <c r="AK209" s="21" t="s">
        <v>2</v>
      </c>
      <c r="AL209" s="72" t="s">
        <v>3894</v>
      </c>
      <c r="AM209" s="54" t="s">
        <v>4179</v>
      </c>
      <c r="AN209" s="34" t="s">
        <v>819</v>
      </c>
    </row>
    <row r="210" spans="2:40" x14ac:dyDescent="0.3">
      <c r="B210" s="18" t="s">
        <v>3917</v>
      </c>
      <c r="C210" s="47" t="s">
        <v>2775</v>
      </c>
      <c r="D210" s="15" t="s">
        <v>1431</v>
      </c>
      <c r="E210" s="68" t="s">
        <v>2</v>
      </c>
      <c r="F210" s="55" t="s">
        <v>2</v>
      </c>
      <c r="G210" s="40" t="s">
        <v>3894</v>
      </c>
      <c r="H210" s="71" t="s">
        <v>2745</v>
      </c>
      <c r="I210" s="67" t="s">
        <v>287</v>
      </c>
      <c r="J210" s="73" t="s">
        <v>270</v>
      </c>
      <c r="K210" s="4">
        <v>3989280</v>
      </c>
      <c r="L210" s="41">
        <v>94.364999999999995</v>
      </c>
      <c r="M210" s="4">
        <v>3774600</v>
      </c>
      <c r="N210" s="4">
        <v>4000000</v>
      </c>
      <c r="O210" s="4">
        <v>3994521</v>
      </c>
      <c r="P210" s="4">
        <v>0</v>
      </c>
      <c r="Q210" s="4">
        <v>1510</v>
      </c>
      <c r="R210" s="4">
        <v>0</v>
      </c>
      <c r="S210" s="4">
        <v>0</v>
      </c>
      <c r="T210" s="23">
        <v>3.125</v>
      </c>
      <c r="U210" s="23">
        <v>3.1680000000000001</v>
      </c>
      <c r="V210" s="5" t="s">
        <v>3409</v>
      </c>
      <c r="W210" s="4">
        <v>14236</v>
      </c>
      <c r="X210" s="4">
        <v>125000</v>
      </c>
      <c r="Y210" s="14">
        <v>43600</v>
      </c>
      <c r="Z210" s="14">
        <v>46162</v>
      </c>
      <c r="AA210" s="2"/>
      <c r="AB210" s="69" t="s">
        <v>3892</v>
      </c>
      <c r="AC210" s="5" t="s">
        <v>4178</v>
      </c>
      <c r="AD210" s="2"/>
      <c r="AE210" s="14">
        <v>46132</v>
      </c>
      <c r="AF210" s="23">
        <v>100</v>
      </c>
      <c r="AG210" s="6"/>
      <c r="AH210" s="5" t="s">
        <v>294</v>
      </c>
      <c r="AI210" s="5" t="s">
        <v>1431</v>
      </c>
      <c r="AJ210" s="5" t="s">
        <v>2</v>
      </c>
      <c r="AK210" s="21" t="s">
        <v>2</v>
      </c>
      <c r="AL210" s="72" t="s">
        <v>3894</v>
      </c>
      <c r="AM210" s="54" t="s">
        <v>4179</v>
      </c>
      <c r="AN210" s="34" t="s">
        <v>819</v>
      </c>
    </row>
    <row r="211" spans="2:40" x14ac:dyDescent="0.3">
      <c r="B211" s="18" t="s">
        <v>528</v>
      </c>
      <c r="C211" s="47" t="s">
        <v>3081</v>
      </c>
      <c r="D211" s="15" t="s">
        <v>1431</v>
      </c>
      <c r="E211" s="68" t="s">
        <v>2</v>
      </c>
      <c r="F211" s="55" t="s">
        <v>2</v>
      </c>
      <c r="G211" s="40" t="s">
        <v>2745</v>
      </c>
      <c r="H211" s="71" t="s">
        <v>2745</v>
      </c>
      <c r="I211" s="67" t="s">
        <v>287</v>
      </c>
      <c r="J211" s="73" t="s">
        <v>270</v>
      </c>
      <c r="K211" s="4">
        <v>3746513</v>
      </c>
      <c r="L211" s="41">
        <v>91.198999999999998</v>
      </c>
      <c r="M211" s="4">
        <v>3419963</v>
      </c>
      <c r="N211" s="4">
        <v>3750000</v>
      </c>
      <c r="O211" s="4">
        <v>3747058</v>
      </c>
      <c r="P211" s="4">
        <v>0</v>
      </c>
      <c r="Q211" s="4">
        <v>546</v>
      </c>
      <c r="R211" s="4">
        <v>0</v>
      </c>
      <c r="S211" s="4">
        <v>0</v>
      </c>
      <c r="T211" s="23">
        <v>2.5499999999999998</v>
      </c>
      <c r="U211" s="23">
        <v>2.57</v>
      </c>
      <c r="V211" s="5" t="s">
        <v>10</v>
      </c>
      <c r="W211" s="4">
        <v>31078</v>
      </c>
      <c r="X211" s="4">
        <v>47813</v>
      </c>
      <c r="Y211" s="14">
        <v>44621</v>
      </c>
      <c r="Z211" s="14">
        <v>46450</v>
      </c>
      <c r="AA211" s="2"/>
      <c r="AB211" s="69" t="s">
        <v>3892</v>
      </c>
      <c r="AC211" s="5" t="s">
        <v>4178</v>
      </c>
      <c r="AD211" s="2"/>
      <c r="AE211" s="9">
        <v>46419</v>
      </c>
      <c r="AF211" s="23">
        <v>100</v>
      </c>
      <c r="AG211" s="6"/>
      <c r="AH211" s="5" t="s">
        <v>294</v>
      </c>
      <c r="AI211" s="5" t="s">
        <v>1431</v>
      </c>
      <c r="AJ211" s="5" t="s">
        <v>2</v>
      </c>
      <c r="AK211" s="21" t="s">
        <v>2</v>
      </c>
      <c r="AL211" s="72" t="s">
        <v>3894</v>
      </c>
      <c r="AM211" s="54" t="s">
        <v>4179</v>
      </c>
      <c r="AN211" s="34" t="s">
        <v>819</v>
      </c>
    </row>
    <row r="212" spans="2:40" x14ac:dyDescent="0.3">
      <c r="B212" s="18" t="s">
        <v>1655</v>
      </c>
      <c r="C212" s="47" t="s">
        <v>4212</v>
      </c>
      <c r="D212" s="15" t="s">
        <v>1431</v>
      </c>
      <c r="E212" s="68" t="s">
        <v>2</v>
      </c>
      <c r="F212" s="55" t="s">
        <v>2</v>
      </c>
      <c r="G212" s="40" t="s">
        <v>3894</v>
      </c>
      <c r="H212" s="71" t="s">
        <v>2745</v>
      </c>
      <c r="I212" s="67" t="s">
        <v>287</v>
      </c>
      <c r="J212" s="73" t="s">
        <v>270</v>
      </c>
      <c r="K212" s="4">
        <v>4990650</v>
      </c>
      <c r="L212" s="41">
        <v>95.721999999999994</v>
      </c>
      <c r="M212" s="4">
        <v>4786100</v>
      </c>
      <c r="N212" s="4">
        <v>5000000</v>
      </c>
      <c r="O212" s="4">
        <v>4991426</v>
      </c>
      <c r="P212" s="4">
        <v>0</v>
      </c>
      <c r="Q212" s="4">
        <v>776</v>
      </c>
      <c r="R212" s="4">
        <v>0</v>
      </c>
      <c r="S212" s="4">
        <v>0</v>
      </c>
      <c r="T212" s="23">
        <v>4.05</v>
      </c>
      <c r="U212" s="23">
        <v>4.0810000000000004</v>
      </c>
      <c r="V212" s="5" t="s">
        <v>3409</v>
      </c>
      <c r="W212" s="4">
        <v>32625</v>
      </c>
      <c r="X212" s="4">
        <v>101250</v>
      </c>
      <c r="Y212" s="14">
        <v>44679</v>
      </c>
      <c r="Z212" s="14">
        <v>47241</v>
      </c>
      <c r="AA212" s="2"/>
      <c r="AB212" s="69" t="s">
        <v>3892</v>
      </c>
      <c r="AC212" s="5" t="s">
        <v>4178</v>
      </c>
      <c r="AD212" s="2"/>
      <c r="AE212" s="9">
        <v>47180</v>
      </c>
      <c r="AF212" s="23">
        <v>100</v>
      </c>
      <c r="AG212" s="6"/>
      <c r="AH212" s="5" t="s">
        <v>294</v>
      </c>
      <c r="AI212" s="5" t="s">
        <v>1431</v>
      </c>
      <c r="AJ212" s="5" t="s">
        <v>2</v>
      </c>
      <c r="AK212" s="21" t="s">
        <v>2</v>
      </c>
      <c r="AL212" s="72" t="s">
        <v>3894</v>
      </c>
      <c r="AM212" s="54" t="s">
        <v>4179</v>
      </c>
      <c r="AN212" s="34" t="s">
        <v>819</v>
      </c>
    </row>
    <row r="213" spans="2:40" x14ac:dyDescent="0.3">
      <c r="B213" s="18" t="s">
        <v>3082</v>
      </c>
      <c r="C213" s="47" t="s">
        <v>3083</v>
      </c>
      <c r="D213" s="15" t="s">
        <v>1656</v>
      </c>
      <c r="E213" s="68" t="s">
        <v>2</v>
      </c>
      <c r="F213" s="55" t="s">
        <v>2</v>
      </c>
      <c r="G213" s="40" t="s">
        <v>2745</v>
      </c>
      <c r="H213" s="71" t="s">
        <v>2745</v>
      </c>
      <c r="I213" s="67" t="s">
        <v>1414</v>
      </c>
      <c r="J213" s="73" t="s">
        <v>270</v>
      </c>
      <c r="K213" s="4">
        <v>9997200</v>
      </c>
      <c r="L213" s="41">
        <v>95.504999999999995</v>
      </c>
      <c r="M213" s="4">
        <v>9550500</v>
      </c>
      <c r="N213" s="4">
        <v>10000000</v>
      </c>
      <c r="O213" s="4">
        <v>9999019</v>
      </c>
      <c r="P213" s="4">
        <v>0</v>
      </c>
      <c r="Q213" s="4">
        <v>563</v>
      </c>
      <c r="R213" s="4">
        <v>0</v>
      </c>
      <c r="S213" s="4">
        <v>0</v>
      </c>
      <c r="T213" s="23">
        <v>2.15</v>
      </c>
      <c r="U213" s="23">
        <v>2.1560000000000001</v>
      </c>
      <c r="V213" s="5" t="s">
        <v>10</v>
      </c>
      <c r="W213" s="4">
        <v>66292</v>
      </c>
      <c r="X213" s="4">
        <v>215000</v>
      </c>
      <c r="Y213" s="14">
        <v>43713</v>
      </c>
      <c r="Z213" s="14">
        <v>45545</v>
      </c>
      <c r="AA213" s="2"/>
      <c r="AB213" s="69" t="s">
        <v>3892</v>
      </c>
      <c r="AC213" s="5" t="s">
        <v>4178</v>
      </c>
      <c r="AD213" s="2"/>
      <c r="AE213" s="6"/>
      <c r="AF213" s="23"/>
      <c r="AG213" s="6"/>
      <c r="AH213" s="5" t="s">
        <v>1432</v>
      </c>
      <c r="AI213" s="5" t="s">
        <v>1656</v>
      </c>
      <c r="AJ213" s="5" t="s">
        <v>2</v>
      </c>
      <c r="AK213" s="21" t="s">
        <v>2</v>
      </c>
      <c r="AL213" s="72" t="s">
        <v>3894</v>
      </c>
      <c r="AM213" s="54" t="s">
        <v>4179</v>
      </c>
      <c r="AN213" s="34" t="s">
        <v>512</v>
      </c>
    </row>
    <row r="214" spans="2:40" x14ac:dyDescent="0.3">
      <c r="B214" s="18" t="s">
        <v>4213</v>
      </c>
      <c r="C214" s="47" t="s">
        <v>2305</v>
      </c>
      <c r="D214" s="15" t="s">
        <v>1656</v>
      </c>
      <c r="E214" s="68" t="s">
        <v>2</v>
      </c>
      <c r="F214" s="55" t="s">
        <v>2</v>
      </c>
      <c r="G214" s="40" t="s">
        <v>2745</v>
      </c>
      <c r="H214" s="71" t="s">
        <v>2745</v>
      </c>
      <c r="I214" s="67" t="s">
        <v>1414</v>
      </c>
      <c r="J214" s="73" t="s">
        <v>270</v>
      </c>
      <c r="K214" s="4">
        <v>20046500</v>
      </c>
      <c r="L214" s="41">
        <v>90.97</v>
      </c>
      <c r="M214" s="4">
        <v>18194000</v>
      </c>
      <c r="N214" s="4">
        <v>20000000</v>
      </c>
      <c r="O214" s="4">
        <v>20028072</v>
      </c>
      <c r="P214" s="4">
        <v>0</v>
      </c>
      <c r="Q214" s="4">
        <v>-6624</v>
      </c>
      <c r="R214" s="4">
        <v>0</v>
      </c>
      <c r="S214" s="4">
        <v>0</v>
      </c>
      <c r="T214" s="23">
        <v>2.35</v>
      </c>
      <c r="U214" s="23">
        <v>2.3130000000000002</v>
      </c>
      <c r="V214" s="5" t="s">
        <v>1916</v>
      </c>
      <c r="W214" s="4">
        <v>225861</v>
      </c>
      <c r="X214" s="4">
        <v>470000</v>
      </c>
      <c r="Y214" s="14">
        <v>43873</v>
      </c>
      <c r="Z214" s="14">
        <v>46395</v>
      </c>
      <c r="AA214" s="2"/>
      <c r="AB214" s="69" t="s">
        <v>3892</v>
      </c>
      <c r="AC214" s="5" t="s">
        <v>4178</v>
      </c>
      <c r="AD214" s="2"/>
      <c r="AE214" s="10"/>
      <c r="AF214" s="23"/>
      <c r="AG214" s="10"/>
      <c r="AH214" s="5" t="s">
        <v>1432</v>
      </c>
      <c r="AI214" s="5" t="s">
        <v>1656</v>
      </c>
      <c r="AJ214" s="5" t="s">
        <v>2</v>
      </c>
      <c r="AK214" s="21" t="s">
        <v>2</v>
      </c>
      <c r="AL214" s="72" t="s">
        <v>3894</v>
      </c>
      <c r="AM214" s="54" t="s">
        <v>4179</v>
      </c>
      <c r="AN214" s="34" t="s">
        <v>512</v>
      </c>
    </row>
    <row r="215" spans="2:40" x14ac:dyDescent="0.3">
      <c r="B215" s="18" t="s">
        <v>826</v>
      </c>
      <c r="C215" s="47" t="s">
        <v>3675</v>
      </c>
      <c r="D215" s="15" t="s">
        <v>39</v>
      </c>
      <c r="E215" s="68" t="s">
        <v>2</v>
      </c>
      <c r="F215" s="55" t="s">
        <v>2</v>
      </c>
      <c r="G215" s="40" t="s">
        <v>2745</v>
      </c>
      <c r="H215" s="71" t="s">
        <v>3894</v>
      </c>
      <c r="I215" s="67" t="s">
        <v>1164</v>
      </c>
      <c r="J215" s="73" t="s">
        <v>270</v>
      </c>
      <c r="K215" s="4">
        <v>4463460</v>
      </c>
      <c r="L215" s="41">
        <v>95.518000000000001</v>
      </c>
      <c r="M215" s="4">
        <v>4298310</v>
      </c>
      <c r="N215" s="4">
        <v>4500000</v>
      </c>
      <c r="O215" s="4">
        <v>4485977</v>
      </c>
      <c r="P215" s="4">
        <v>0</v>
      </c>
      <c r="Q215" s="4">
        <v>6563</v>
      </c>
      <c r="R215" s="4">
        <v>0</v>
      </c>
      <c r="S215" s="4">
        <v>0</v>
      </c>
      <c r="T215" s="23">
        <v>2.95</v>
      </c>
      <c r="U215" s="23">
        <v>3.109</v>
      </c>
      <c r="V215" s="5" t="s">
        <v>1916</v>
      </c>
      <c r="W215" s="4">
        <v>61213</v>
      </c>
      <c r="X215" s="4">
        <v>132750</v>
      </c>
      <c r="Y215" s="14">
        <v>43626</v>
      </c>
      <c r="Z215" s="14">
        <v>45672</v>
      </c>
      <c r="AA215" s="2"/>
      <c r="AB215" s="69" t="s">
        <v>3892</v>
      </c>
      <c r="AC215" s="5" t="s">
        <v>4178</v>
      </c>
      <c r="AD215" s="2"/>
      <c r="AE215" s="14">
        <v>45641</v>
      </c>
      <c r="AF215" s="23">
        <v>100</v>
      </c>
      <c r="AG215" s="6"/>
      <c r="AH215" s="5" t="s">
        <v>827</v>
      </c>
      <c r="AI215" s="5" t="s">
        <v>40</v>
      </c>
      <c r="AJ215" s="5" t="s">
        <v>2306</v>
      </c>
      <c r="AK215" s="21" t="s">
        <v>2</v>
      </c>
      <c r="AL215" s="72" t="s">
        <v>3894</v>
      </c>
      <c r="AM215" s="54" t="s">
        <v>4179</v>
      </c>
      <c r="AN215" s="34" t="s">
        <v>828</v>
      </c>
    </row>
    <row r="216" spans="2:40" x14ac:dyDescent="0.3">
      <c r="B216" s="18" t="s">
        <v>2776</v>
      </c>
      <c r="C216" s="47" t="s">
        <v>295</v>
      </c>
      <c r="D216" s="15" t="s">
        <v>39</v>
      </c>
      <c r="E216" s="68" t="s">
        <v>2</v>
      </c>
      <c r="F216" s="55" t="s">
        <v>2</v>
      </c>
      <c r="G216" s="40" t="s">
        <v>2745</v>
      </c>
      <c r="H216" s="71" t="s">
        <v>3894</v>
      </c>
      <c r="I216" s="67" t="s">
        <v>1164</v>
      </c>
      <c r="J216" s="73" t="s">
        <v>270</v>
      </c>
      <c r="K216" s="4">
        <v>4995250</v>
      </c>
      <c r="L216" s="41">
        <v>94.177000000000007</v>
      </c>
      <c r="M216" s="4">
        <v>4708850</v>
      </c>
      <c r="N216" s="4">
        <v>5000000</v>
      </c>
      <c r="O216" s="4">
        <v>4997983</v>
      </c>
      <c r="P216" s="4">
        <v>0</v>
      </c>
      <c r="Q216" s="4">
        <v>880</v>
      </c>
      <c r="R216" s="4">
        <v>0</v>
      </c>
      <c r="S216" s="4">
        <v>0</v>
      </c>
      <c r="T216" s="23">
        <v>2.4</v>
      </c>
      <c r="U216" s="23">
        <v>2.419</v>
      </c>
      <c r="V216" s="5" t="s">
        <v>10</v>
      </c>
      <c r="W216" s="4">
        <v>35333</v>
      </c>
      <c r="X216" s="4">
        <v>120000</v>
      </c>
      <c r="Y216" s="14">
        <v>43837</v>
      </c>
      <c r="Z216" s="14">
        <v>45731</v>
      </c>
      <c r="AA216" s="2"/>
      <c r="AB216" s="69" t="s">
        <v>3892</v>
      </c>
      <c r="AC216" s="5" t="s">
        <v>4178</v>
      </c>
      <c r="AD216" s="2"/>
      <c r="AE216" s="14">
        <v>45703</v>
      </c>
      <c r="AF216" s="23">
        <v>100</v>
      </c>
      <c r="AG216" s="6"/>
      <c r="AH216" s="5" t="s">
        <v>827</v>
      </c>
      <c r="AI216" s="5" t="s">
        <v>40</v>
      </c>
      <c r="AJ216" s="5" t="s">
        <v>2306</v>
      </c>
      <c r="AK216" s="21" t="s">
        <v>2</v>
      </c>
      <c r="AL216" s="72" t="s">
        <v>3894</v>
      </c>
      <c r="AM216" s="54" t="s">
        <v>4179</v>
      </c>
      <c r="AN216" s="34" t="s">
        <v>828</v>
      </c>
    </row>
    <row r="217" spans="2:40" x14ac:dyDescent="0.3">
      <c r="B217" s="18" t="s">
        <v>3918</v>
      </c>
      <c r="C217" s="47" t="s">
        <v>2307</v>
      </c>
      <c r="D217" s="15" t="s">
        <v>39</v>
      </c>
      <c r="E217" s="68" t="s">
        <v>2</v>
      </c>
      <c r="F217" s="55" t="s">
        <v>2</v>
      </c>
      <c r="G217" s="40" t="s">
        <v>2745</v>
      </c>
      <c r="H217" s="71" t="s">
        <v>3894</v>
      </c>
      <c r="I217" s="67" t="s">
        <v>1164</v>
      </c>
      <c r="J217" s="73" t="s">
        <v>270</v>
      </c>
      <c r="K217" s="4">
        <v>4975850</v>
      </c>
      <c r="L217" s="41">
        <v>93.665000000000006</v>
      </c>
      <c r="M217" s="4">
        <v>4683250</v>
      </c>
      <c r="N217" s="4">
        <v>5000000</v>
      </c>
      <c r="O217" s="4">
        <v>4979172</v>
      </c>
      <c r="P217" s="4">
        <v>0</v>
      </c>
      <c r="Q217" s="4">
        <v>3322</v>
      </c>
      <c r="R217" s="4">
        <v>0</v>
      </c>
      <c r="S217" s="4">
        <v>0</v>
      </c>
      <c r="T217" s="23">
        <v>3.65</v>
      </c>
      <c r="U217" s="23">
        <v>3.758</v>
      </c>
      <c r="V217" s="5" t="s">
        <v>10</v>
      </c>
      <c r="W217" s="4">
        <v>53736</v>
      </c>
      <c r="X217" s="4">
        <v>83139</v>
      </c>
      <c r="Y217" s="14">
        <v>44649</v>
      </c>
      <c r="Z217" s="14">
        <v>46461</v>
      </c>
      <c r="AA217" s="2"/>
      <c r="AB217" s="69" t="s">
        <v>3892</v>
      </c>
      <c r="AC217" s="5" t="s">
        <v>4178</v>
      </c>
      <c r="AD217" s="2"/>
      <c r="AE217" s="14">
        <v>46433</v>
      </c>
      <c r="AF217" s="23">
        <v>100</v>
      </c>
      <c r="AG217" s="6"/>
      <c r="AH217" s="5" t="s">
        <v>827</v>
      </c>
      <c r="AI217" s="5" t="s">
        <v>40</v>
      </c>
      <c r="AJ217" s="5" t="s">
        <v>2306</v>
      </c>
      <c r="AK217" s="21" t="s">
        <v>2</v>
      </c>
      <c r="AL217" s="72" t="s">
        <v>3894</v>
      </c>
      <c r="AM217" s="54" t="s">
        <v>4179</v>
      </c>
      <c r="AN217" s="34" t="s">
        <v>828</v>
      </c>
    </row>
    <row r="218" spans="2:40" x14ac:dyDescent="0.3">
      <c r="B218" s="18" t="s">
        <v>529</v>
      </c>
      <c r="C218" s="47" t="s">
        <v>2308</v>
      </c>
      <c r="D218" s="15" t="s">
        <v>2777</v>
      </c>
      <c r="E218" s="68" t="s">
        <v>2</v>
      </c>
      <c r="F218" s="55" t="s">
        <v>2</v>
      </c>
      <c r="G218" s="40" t="s">
        <v>2745</v>
      </c>
      <c r="H218" s="71" t="s">
        <v>3894</v>
      </c>
      <c r="I218" s="67" t="s">
        <v>3408</v>
      </c>
      <c r="J218" s="73" t="s">
        <v>270</v>
      </c>
      <c r="K218" s="4">
        <v>14787600</v>
      </c>
      <c r="L218" s="41">
        <v>97.68</v>
      </c>
      <c r="M218" s="4">
        <v>14652000</v>
      </c>
      <c r="N218" s="4">
        <v>15000000</v>
      </c>
      <c r="O218" s="4">
        <v>14943601</v>
      </c>
      <c r="P218" s="4">
        <v>0</v>
      </c>
      <c r="Q218" s="4">
        <v>38157</v>
      </c>
      <c r="R218" s="4">
        <v>0</v>
      </c>
      <c r="S218" s="4">
        <v>0</v>
      </c>
      <c r="T218" s="23">
        <v>3.4</v>
      </c>
      <c r="U218" s="23">
        <v>3.6760000000000002</v>
      </c>
      <c r="V218" s="5" t="s">
        <v>3409</v>
      </c>
      <c r="W218" s="4">
        <v>65167</v>
      </c>
      <c r="X218" s="4">
        <v>510000</v>
      </c>
      <c r="Y218" s="14">
        <v>43553</v>
      </c>
      <c r="Z218" s="14">
        <v>45427</v>
      </c>
      <c r="AA218" s="2"/>
      <c r="AB218" s="69" t="s">
        <v>3892</v>
      </c>
      <c r="AC218" s="5" t="s">
        <v>4178</v>
      </c>
      <c r="AD218" s="2"/>
      <c r="AE218" s="14">
        <v>45337</v>
      </c>
      <c r="AF218" s="23">
        <v>100</v>
      </c>
      <c r="AG218" s="9">
        <v>45337</v>
      </c>
      <c r="AH218" s="5" t="s">
        <v>1657</v>
      </c>
      <c r="AI218" s="5" t="s">
        <v>2777</v>
      </c>
      <c r="AJ218" s="5" t="s">
        <v>2</v>
      </c>
      <c r="AK218" s="21" t="s">
        <v>2</v>
      </c>
      <c r="AL218" s="72" t="s">
        <v>3894</v>
      </c>
      <c r="AM218" s="54" t="s">
        <v>4179</v>
      </c>
      <c r="AN218" s="34" t="s">
        <v>1650</v>
      </c>
    </row>
    <row r="219" spans="2:40" x14ac:dyDescent="0.3">
      <c r="B219" s="18" t="s">
        <v>1658</v>
      </c>
      <c r="C219" s="47" t="s">
        <v>2778</v>
      </c>
      <c r="D219" s="15" t="s">
        <v>3919</v>
      </c>
      <c r="E219" s="68" t="s">
        <v>2</v>
      </c>
      <c r="F219" s="55" t="s">
        <v>2</v>
      </c>
      <c r="G219" s="40" t="s">
        <v>2745</v>
      </c>
      <c r="H219" s="71" t="s">
        <v>2745</v>
      </c>
      <c r="I219" s="67" t="s">
        <v>1414</v>
      </c>
      <c r="J219" s="73" t="s">
        <v>270</v>
      </c>
      <c r="K219" s="4">
        <v>7698370</v>
      </c>
      <c r="L219" s="41">
        <v>92.995000000000005</v>
      </c>
      <c r="M219" s="4">
        <v>6837922</v>
      </c>
      <c r="N219" s="4">
        <v>7353000</v>
      </c>
      <c r="O219" s="4">
        <v>7547330</v>
      </c>
      <c r="P219" s="4">
        <v>0</v>
      </c>
      <c r="Q219" s="4">
        <v>-53674</v>
      </c>
      <c r="R219" s="4">
        <v>0</v>
      </c>
      <c r="S219" s="4">
        <v>0</v>
      </c>
      <c r="T219" s="23">
        <v>2.875</v>
      </c>
      <c r="U219" s="23">
        <v>2.0790000000000002</v>
      </c>
      <c r="V219" s="5" t="s">
        <v>10</v>
      </c>
      <c r="W219" s="4">
        <v>62245</v>
      </c>
      <c r="X219" s="4">
        <v>211396</v>
      </c>
      <c r="Y219" s="14">
        <v>43873</v>
      </c>
      <c r="Z219" s="14">
        <v>46280</v>
      </c>
      <c r="AA219" s="2"/>
      <c r="AB219" s="69" t="s">
        <v>3892</v>
      </c>
      <c r="AC219" s="5" t="s">
        <v>4178</v>
      </c>
      <c r="AD219" s="2"/>
      <c r="AE219" s="14">
        <v>46188</v>
      </c>
      <c r="AF219" s="23">
        <v>100</v>
      </c>
      <c r="AG219" s="9">
        <v>46188</v>
      </c>
      <c r="AH219" s="5" t="s">
        <v>2779</v>
      </c>
      <c r="AI219" s="5" t="s">
        <v>3919</v>
      </c>
      <c r="AJ219" s="5" t="s">
        <v>2</v>
      </c>
      <c r="AK219" s="21" t="s">
        <v>2</v>
      </c>
      <c r="AL219" s="72" t="s">
        <v>3894</v>
      </c>
      <c r="AM219" s="54" t="s">
        <v>4179</v>
      </c>
      <c r="AN219" s="34" t="s">
        <v>512</v>
      </c>
    </row>
    <row r="220" spans="2:40" x14ac:dyDescent="0.3">
      <c r="B220" s="18" t="s">
        <v>2780</v>
      </c>
      <c r="C220" s="47" t="s">
        <v>2781</v>
      </c>
      <c r="D220" s="15" t="s">
        <v>296</v>
      </c>
      <c r="E220" s="68" t="s">
        <v>2</v>
      </c>
      <c r="F220" s="55" t="s">
        <v>2</v>
      </c>
      <c r="G220" s="40" t="s">
        <v>2745</v>
      </c>
      <c r="H220" s="71" t="s">
        <v>3894</v>
      </c>
      <c r="I220" s="67" t="s">
        <v>3408</v>
      </c>
      <c r="J220" s="73" t="s">
        <v>270</v>
      </c>
      <c r="K220" s="4">
        <v>7148710</v>
      </c>
      <c r="L220" s="41">
        <v>89.988</v>
      </c>
      <c r="M220" s="4">
        <v>6299160</v>
      </c>
      <c r="N220" s="4">
        <v>7000000</v>
      </c>
      <c r="O220" s="4">
        <v>7091861</v>
      </c>
      <c r="P220" s="4">
        <v>0</v>
      </c>
      <c r="Q220" s="4">
        <v>-22183</v>
      </c>
      <c r="R220" s="4">
        <v>0</v>
      </c>
      <c r="S220" s="4">
        <v>0</v>
      </c>
      <c r="T220" s="23">
        <v>2.2000000000000002</v>
      </c>
      <c r="U220" s="23">
        <v>1.855</v>
      </c>
      <c r="V220" s="5" t="s">
        <v>268</v>
      </c>
      <c r="W220" s="4">
        <v>55611</v>
      </c>
      <c r="X220" s="4">
        <v>154000</v>
      </c>
      <c r="Y220" s="14">
        <v>43985</v>
      </c>
      <c r="Z220" s="14">
        <v>46439</v>
      </c>
      <c r="AA220" s="2"/>
      <c r="AB220" s="69" t="s">
        <v>3892</v>
      </c>
      <c r="AC220" s="5" t="s">
        <v>4178</v>
      </c>
      <c r="AD220" s="2"/>
      <c r="AE220" s="14">
        <v>46377</v>
      </c>
      <c r="AF220" s="23">
        <v>100</v>
      </c>
      <c r="AG220" s="9">
        <v>46377</v>
      </c>
      <c r="AH220" s="5" t="s">
        <v>41</v>
      </c>
      <c r="AI220" s="5" t="s">
        <v>296</v>
      </c>
      <c r="AJ220" s="5" t="s">
        <v>2</v>
      </c>
      <c r="AK220" s="21" t="s">
        <v>2</v>
      </c>
      <c r="AL220" s="72" t="s">
        <v>3894</v>
      </c>
      <c r="AM220" s="54" t="s">
        <v>4179</v>
      </c>
      <c r="AN220" s="34" t="s">
        <v>1650</v>
      </c>
    </row>
    <row r="221" spans="2:40" x14ac:dyDescent="0.3">
      <c r="B221" s="18" t="s">
        <v>3920</v>
      </c>
      <c r="C221" s="47" t="s">
        <v>2557</v>
      </c>
      <c r="D221" s="15" t="s">
        <v>296</v>
      </c>
      <c r="E221" s="68" t="s">
        <v>2</v>
      </c>
      <c r="F221" s="55" t="s">
        <v>2</v>
      </c>
      <c r="G221" s="40" t="s">
        <v>2745</v>
      </c>
      <c r="H221" s="71" t="s">
        <v>3894</v>
      </c>
      <c r="I221" s="67" t="s">
        <v>3408</v>
      </c>
      <c r="J221" s="73" t="s">
        <v>270</v>
      </c>
      <c r="K221" s="4">
        <v>4984350</v>
      </c>
      <c r="L221" s="41">
        <v>88.885999999999996</v>
      </c>
      <c r="M221" s="4">
        <v>4444300</v>
      </c>
      <c r="N221" s="4">
        <v>5000000</v>
      </c>
      <c r="O221" s="4">
        <v>4986097</v>
      </c>
      <c r="P221" s="4">
        <v>0</v>
      </c>
      <c r="Q221" s="4">
        <v>1747</v>
      </c>
      <c r="R221" s="4">
        <v>0</v>
      </c>
      <c r="S221" s="4">
        <v>0</v>
      </c>
      <c r="T221" s="23">
        <v>3</v>
      </c>
      <c r="U221" s="23">
        <v>3.05</v>
      </c>
      <c r="V221" s="5" t="s">
        <v>268</v>
      </c>
      <c r="W221" s="4">
        <v>53750</v>
      </c>
      <c r="X221" s="4">
        <v>75000</v>
      </c>
      <c r="Y221" s="14">
        <v>44609</v>
      </c>
      <c r="Z221" s="14">
        <v>47171</v>
      </c>
      <c r="AA221" s="2"/>
      <c r="AB221" s="69" t="s">
        <v>3892</v>
      </c>
      <c r="AC221" s="5" t="s">
        <v>4178</v>
      </c>
      <c r="AD221" s="2"/>
      <c r="AE221" s="14">
        <v>47109</v>
      </c>
      <c r="AF221" s="23">
        <v>100</v>
      </c>
      <c r="AG221" s="10"/>
      <c r="AH221" s="5" t="s">
        <v>41</v>
      </c>
      <c r="AI221" s="5" t="s">
        <v>296</v>
      </c>
      <c r="AJ221" s="5" t="s">
        <v>2</v>
      </c>
      <c r="AK221" s="21" t="s">
        <v>2</v>
      </c>
      <c r="AL221" s="72" t="s">
        <v>3894</v>
      </c>
      <c r="AM221" s="54" t="s">
        <v>4179</v>
      </c>
      <c r="AN221" s="34" t="s">
        <v>1650</v>
      </c>
    </row>
    <row r="222" spans="2:40" x14ac:dyDescent="0.3">
      <c r="B222" s="18" t="s">
        <v>829</v>
      </c>
      <c r="C222" s="47" t="s">
        <v>830</v>
      </c>
      <c r="D222" s="15" t="s">
        <v>3676</v>
      </c>
      <c r="E222" s="68" t="s">
        <v>2</v>
      </c>
      <c r="F222" s="55" t="s">
        <v>2</v>
      </c>
      <c r="G222" s="40" t="s">
        <v>2745</v>
      </c>
      <c r="H222" s="71" t="s">
        <v>3894</v>
      </c>
      <c r="I222" s="67" t="s">
        <v>3408</v>
      </c>
      <c r="J222" s="73" t="s">
        <v>270</v>
      </c>
      <c r="K222" s="4">
        <v>4447508</v>
      </c>
      <c r="L222" s="41">
        <v>91.882999999999996</v>
      </c>
      <c r="M222" s="4">
        <v>4088794</v>
      </c>
      <c r="N222" s="4">
        <v>4450000</v>
      </c>
      <c r="O222" s="4">
        <v>4448155</v>
      </c>
      <c r="P222" s="4">
        <v>0</v>
      </c>
      <c r="Q222" s="4">
        <v>647</v>
      </c>
      <c r="R222" s="4">
        <v>0</v>
      </c>
      <c r="S222" s="4">
        <v>0</v>
      </c>
      <c r="T222" s="23">
        <v>2.85</v>
      </c>
      <c r="U222" s="23">
        <v>2.86</v>
      </c>
      <c r="V222" s="5" t="s">
        <v>3409</v>
      </c>
      <c r="W222" s="4">
        <v>11626</v>
      </c>
      <c r="X222" s="4">
        <v>94414</v>
      </c>
      <c r="Y222" s="14">
        <v>44615</v>
      </c>
      <c r="Z222" s="14">
        <v>46535</v>
      </c>
      <c r="AA222" s="2"/>
      <c r="AB222" s="69" t="s">
        <v>3892</v>
      </c>
      <c r="AC222" s="5" t="s">
        <v>4178</v>
      </c>
      <c r="AD222" s="2"/>
      <c r="AE222" s="14">
        <v>46505</v>
      </c>
      <c r="AF222" s="23">
        <v>100</v>
      </c>
      <c r="AG222" s="10"/>
      <c r="AH222" s="5" t="s">
        <v>2</v>
      </c>
      <c r="AI222" s="5" t="s">
        <v>3677</v>
      </c>
      <c r="AJ222" s="5" t="s">
        <v>1948</v>
      </c>
      <c r="AK222" s="21" t="s">
        <v>2</v>
      </c>
      <c r="AL222" s="72" t="s">
        <v>3894</v>
      </c>
      <c r="AM222" s="54" t="s">
        <v>4179</v>
      </c>
      <c r="AN222" s="34" t="s">
        <v>1650</v>
      </c>
    </row>
    <row r="223" spans="2:40" x14ac:dyDescent="0.3">
      <c r="B223" s="18" t="s">
        <v>1949</v>
      </c>
      <c r="C223" s="47" t="s">
        <v>1950</v>
      </c>
      <c r="D223" s="15" t="s">
        <v>3677</v>
      </c>
      <c r="E223" s="68" t="s">
        <v>2</v>
      </c>
      <c r="F223" s="55" t="s">
        <v>2</v>
      </c>
      <c r="G223" s="40" t="s">
        <v>2745</v>
      </c>
      <c r="H223" s="71" t="s">
        <v>3894</v>
      </c>
      <c r="I223" s="67" t="s">
        <v>3408</v>
      </c>
      <c r="J223" s="73" t="s">
        <v>270</v>
      </c>
      <c r="K223" s="4">
        <v>1998440</v>
      </c>
      <c r="L223" s="41">
        <v>99.293999999999997</v>
      </c>
      <c r="M223" s="4">
        <v>1985880</v>
      </c>
      <c r="N223" s="4">
        <v>2000000</v>
      </c>
      <c r="O223" s="4">
        <v>1998477</v>
      </c>
      <c r="P223" s="4">
        <v>0</v>
      </c>
      <c r="Q223" s="4">
        <v>37</v>
      </c>
      <c r="R223" s="4">
        <v>0</v>
      </c>
      <c r="S223" s="4">
        <v>0</v>
      </c>
      <c r="T223" s="23">
        <v>5</v>
      </c>
      <c r="U223" s="23">
        <v>5.01</v>
      </c>
      <c r="V223" s="5" t="s">
        <v>10</v>
      </c>
      <c r="W223" s="4">
        <v>30278</v>
      </c>
      <c r="X223" s="4">
        <v>0</v>
      </c>
      <c r="Y223" s="14">
        <v>44811</v>
      </c>
      <c r="Z223" s="14">
        <v>48469</v>
      </c>
      <c r="AA223" s="2"/>
      <c r="AB223" s="69" t="s">
        <v>3892</v>
      </c>
      <c r="AC223" s="5" t="s">
        <v>4178</v>
      </c>
      <c r="AD223" s="2"/>
      <c r="AE223" s="14">
        <v>48377</v>
      </c>
      <c r="AF223" s="23">
        <v>100</v>
      </c>
      <c r="AG223" s="6"/>
      <c r="AH223" s="5" t="s">
        <v>2</v>
      </c>
      <c r="AI223" s="5" t="s">
        <v>3677</v>
      </c>
      <c r="AJ223" s="5" t="s">
        <v>2</v>
      </c>
      <c r="AK223" s="21" t="s">
        <v>2</v>
      </c>
      <c r="AL223" s="72" t="s">
        <v>3894</v>
      </c>
      <c r="AM223" s="54" t="s">
        <v>4179</v>
      </c>
      <c r="AN223" s="34" t="s">
        <v>1650</v>
      </c>
    </row>
    <row r="224" spans="2:40" x14ac:dyDescent="0.3">
      <c r="B224" s="18" t="s">
        <v>3084</v>
      </c>
      <c r="C224" s="47" t="s">
        <v>3438</v>
      </c>
      <c r="D224" s="15" t="s">
        <v>2309</v>
      </c>
      <c r="E224" s="68" t="s">
        <v>2</v>
      </c>
      <c r="F224" s="55" t="s">
        <v>2</v>
      </c>
      <c r="G224" s="40" t="s">
        <v>2745</v>
      </c>
      <c r="H224" s="71" t="s">
        <v>2745</v>
      </c>
      <c r="I224" s="67" t="s">
        <v>8</v>
      </c>
      <c r="J224" s="73" t="s">
        <v>270</v>
      </c>
      <c r="K224" s="4">
        <v>8826734</v>
      </c>
      <c r="L224" s="41">
        <v>99.751999999999995</v>
      </c>
      <c r="M224" s="4">
        <v>8778176</v>
      </c>
      <c r="N224" s="4">
        <v>8800000</v>
      </c>
      <c r="O224" s="4">
        <v>8799860</v>
      </c>
      <c r="P224" s="4">
        <v>0</v>
      </c>
      <c r="Q224" s="4">
        <v>-8007</v>
      </c>
      <c r="R224" s="4">
        <v>0</v>
      </c>
      <c r="S224" s="4">
        <v>0</v>
      </c>
      <c r="T224" s="23">
        <v>2.85</v>
      </c>
      <c r="U224" s="23">
        <v>2.7559999999999998</v>
      </c>
      <c r="V224" s="5" t="s">
        <v>268</v>
      </c>
      <c r="W224" s="4">
        <v>89173</v>
      </c>
      <c r="X224" s="4">
        <v>250800</v>
      </c>
      <c r="Y224" s="14">
        <v>43551</v>
      </c>
      <c r="Z224" s="14">
        <v>44980</v>
      </c>
      <c r="AA224" s="2"/>
      <c r="AB224" s="69" t="s">
        <v>3892</v>
      </c>
      <c r="AC224" s="5" t="s">
        <v>4178</v>
      </c>
      <c r="AD224" s="2"/>
      <c r="AE224" s="10"/>
      <c r="AF224" s="23"/>
      <c r="AG224" s="6"/>
      <c r="AH224" s="5" t="s">
        <v>297</v>
      </c>
      <c r="AI224" s="5" t="s">
        <v>2309</v>
      </c>
      <c r="AJ224" s="5" t="s">
        <v>2</v>
      </c>
      <c r="AK224" s="21" t="s">
        <v>2</v>
      </c>
      <c r="AL224" s="72" t="s">
        <v>3894</v>
      </c>
      <c r="AM224" s="54" t="s">
        <v>4179</v>
      </c>
      <c r="AN224" s="34" t="s">
        <v>1923</v>
      </c>
    </row>
    <row r="225" spans="2:40" x14ac:dyDescent="0.3">
      <c r="B225" s="18" t="s">
        <v>4214</v>
      </c>
      <c r="C225" s="47" t="s">
        <v>3439</v>
      </c>
      <c r="D225" s="15" t="s">
        <v>2309</v>
      </c>
      <c r="E225" s="68" t="s">
        <v>2</v>
      </c>
      <c r="F225" s="55" t="s">
        <v>2</v>
      </c>
      <c r="G225" s="40" t="s">
        <v>2745</v>
      </c>
      <c r="H225" s="71" t="s">
        <v>2745</v>
      </c>
      <c r="I225" s="67" t="s">
        <v>8</v>
      </c>
      <c r="J225" s="73" t="s">
        <v>270</v>
      </c>
      <c r="K225" s="4">
        <v>14963850</v>
      </c>
      <c r="L225" s="41">
        <v>84.965999999999994</v>
      </c>
      <c r="M225" s="4">
        <v>12744900</v>
      </c>
      <c r="N225" s="4">
        <v>15000000</v>
      </c>
      <c r="O225" s="4">
        <v>14973343</v>
      </c>
      <c r="P225" s="4">
        <v>0</v>
      </c>
      <c r="Q225" s="4">
        <v>5031</v>
      </c>
      <c r="R225" s="4">
        <v>0</v>
      </c>
      <c r="S225" s="4">
        <v>0</v>
      </c>
      <c r="T225" s="23">
        <v>1.2</v>
      </c>
      <c r="U225" s="23">
        <v>1.236</v>
      </c>
      <c r="V225" s="5" t="s">
        <v>268</v>
      </c>
      <c r="W225" s="4">
        <v>71500</v>
      </c>
      <c r="X225" s="4">
        <v>180000</v>
      </c>
      <c r="Y225" s="14">
        <v>44228</v>
      </c>
      <c r="Z225" s="14">
        <v>46791</v>
      </c>
      <c r="AA225" s="2"/>
      <c r="AB225" s="69" t="s">
        <v>3892</v>
      </c>
      <c r="AC225" s="5" t="s">
        <v>4178</v>
      </c>
      <c r="AD225" s="2"/>
      <c r="AE225" s="14">
        <v>46729</v>
      </c>
      <c r="AF225" s="23">
        <v>100</v>
      </c>
      <c r="AG225" s="6"/>
      <c r="AH225" s="5" t="s">
        <v>297</v>
      </c>
      <c r="AI225" s="5" t="s">
        <v>2309</v>
      </c>
      <c r="AJ225" s="5" t="s">
        <v>2</v>
      </c>
      <c r="AK225" s="21" t="s">
        <v>2</v>
      </c>
      <c r="AL225" s="72" t="s">
        <v>3894</v>
      </c>
      <c r="AM225" s="54" t="s">
        <v>4179</v>
      </c>
      <c r="AN225" s="34" t="s">
        <v>1923</v>
      </c>
    </row>
    <row r="226" spans="2:40" x14ac:dyDescent="0.3">
      <c r="B226" s="18" t="s">
        <v>1659</v>
      </c>
      <c r="C226" s="47" t="s">
        <v>42</v>
      </c>
      <c r="D226" s="15" t="s">
        <v>3921</v>
      </c>
      <c r="E226" s="68" t="s">
        <v>2</v>
      </c>
      <c r="F226" s="55" t="s">
        <v>2</v>
      </c>
      <c r="G226" s="40" t="s">
        <v>2745</v>
      </c>
      <c r="H226" s="71" t="s">
        <v>2745</v>
      </c>
      <c r="I226" s="67" t="s">
        <v>1414</v>
      </c>
      <c r="J226" s="73" t="s">
        <v>270</v>
      </c>
      <c r="K226" s="4">
        <v>6498895</v>
      </c>
      <c r="L226" s="41">
        <v>76.534000000000006</v>
      </c>
      <c r="M226" s="4">
        <v>4974710</v>
      </c>
      <c r="N226" s="4">
        <v>6500000</v>
      </c>
      <c r="O226" s="4">
        <v>6498951</v>
      </c>
      <c r="P226" s="4">
        <v>0</v>
      </c>
      <c r="Q226" s="4">
        <v>56</v>
      </c>
      <c r="R226" s="4">
        <v>0</v>
      </c>
      <c r="S226" s="4">
        <v>0</v>
      </c>
      <c r="T226" s="23">
        <v>2.2000000000000002</v>
      </c>
      <c r="U226" s="23">
        <v>2.202</v>
      </c>
      <c r="V226" s="5" t="s">
        <v>3898</v>
      </c>
      <c r="W226" s="4">
        <v>6356</v>
      </c>
      <c r="X226" s="4">
        <v>143000</v>
      </c>
      <c r="Y226" s="14">
        <v>44419</v>
      </c>
      <c r="Z226" s="14">
        <v>48197</v>
      </c>
      <c r="AA226" s="2"/>
      <c r="AB226" s="69" t="s">
        <v>3892</v>
      </c>
      <c r="AC226" s="5" t="s">
        <v>4178</v>
      </c>
      <c r="AD226" s="2"/>
      <c r="AE226" s="14">
        <v>48106</v>
      </c>
      <c r="AF226" s="23">
        <v>100</v>
      </c>
      <c r="AG226" s="6"/>
      <c r="AH226" s="5" t="s">
        <v>2310</v>
      </c>
      <c r="AI226" s="5" t="s">
        <v>3921</v>
      </c>
      <c r="AJ226" s="5" t="s">
        <v>2</v>
      </c>
      <c r="AK226" s="21" t="s">
        <v>2</v>
      </c>
      <c r="AL226" s="72" t="s">
        <v>3894</v>
      </c>
      <c r="AM226" s="54" t="s">
        <v>4179</v>
      </c>
      <c r="AN226" s="34" t="s">
        <v>512</v>
      </c>
    </row>
    <row r="227" spans="2:40" x14ac:dyDescent="0.3">
      <c r="B227" s="18" t="s">
        <v>2782</v>
      </c>
      <c r="C227" s="47" t="s">
        <v>2311</v>
      </c>
      <c r="D227" s="15" t="s">
        <v>2558</v>
      </c>
      <c r="E227" s="68" t="s">
        <v>2</v>
      </c>
      <c r="F227" s="55" t="s">
        <v>2</v>
      </c>
      <c r="G227" s="40" t="s">
        <v>2</v>
      </c>
      <c r="H227" s="71" t="s">
        <v>3894</v>
      </c>
      <c r="I227" s="67" t="s">
        <v>8</v>
      </c>
      <c r="J227" s="73" t="s">
        <v>2312</v>
      </c>
      <c r="K227" s="4">
        <v>7215364</v>
      </c>
      <c r="L227" s="41">
        <v>94.974000000000004</v>
      </c>
      <c r="M227" s="4">
        <v>7218024</v>
      </c>
      <c r="N227" s="4">
        <v>7600000</v>
      </c>
      <c r="O227" s="4">
        <v>7227621</v>
      </c>
      <c r="P227" s="4">
        <v>0</v>
      </c>
      <c r="Q227" s="4">
        <v>12257</v>
      </c>
      <c r="R227" s="4">
        <v>0</v>
      </c>
      <c r="S227" s="4">
        <v>0</v>
      </c>
      <c r="T227" s="23">
        <v>4.4000000000000004</v>
      </c>
      <c r="U227" s="23">
        <v>6.0069999999999997</v>
      </c>
      <c r="V227" s="5" t="s">
        <v>3898</v>
      </c>
      <c r="W227" s="4">
        <v>26938</v>
      </c>
      <c r="X227" s="4">
        <v>167200</v>
      </c>
      <c r="Y227" s="14">
        <v>44867</v>
      </c>
      <c r="Z227" s="14">
        <v>46175</v>
      </c>
      <c r="AA227" s="2"/>
      <c r="AB227" s="69" t="s">
        <v>2783</v>
      </c>
      <c r="AC227" s="5" t="s">
        <v>2</v>
      </c>
      <c r="AD227" s="2"/>
      <c r="AE227" s="10"/>
      <c r="AF227" s="23"/>
      <c r="AG227" s="6"/>
      <c r="AH227" s="5" t="s">
        <v>1951</v>
      </c>
      <c r="AI227" s="5" t="s">
        <v>2558</v>
      </c>
      <c r="AJ227" s="5" t="s">
        <v>2</v>
      </c>
      <c r="AK227" s="21" t="s">
        <v>2</v>
      </c>
      <c r="AL227" s="72" t="s">
        <v>3894</v>
      </c>
      <c r="AM227" s="54" t="s">
        <v>4179</v>
      </c>
      <c r="AN227" s="34" t="s">
        <v>3085</v>
      </c>
    </row>
    <row r="228" spans="2:40" x14ac:dyDescent="0.3">
      <c r="B228" s="18" t="s">
        <v>3922</v>
      </c>
      <c r="C228" s="47" t="s">
        <v>831</v>
      </c>
      <c r="D228" s="15" t="s">
        <v>2558</v>
      </c>
      <c r="E228" s="68" t="s">
        <v>2</v>
      </c>
      <c r="F228" s="55" t="s">
        <v>2</v>
      </c>
      <c r="G228" s="40" t="s">
        <v>2</v>
      </c>
      <c r="H228" s="71" t="s">
        <v>3894</v>
      </c>
      <c r="I228" s="67" t="s">
        <v>8</v>
      </c>
      <c r="J228" s="73" t="s">
        <v>2312</v>
      </c>
      <c r="K228" s="4">
        <v>5000000</v>
      </c>
      <c r="L228" s="41">
        <v>96.551000000000002</v>
      </c>
      <c r="M228" s="4">
        <v>4827550</v>
      </c>
      <c r="N228" s="4">
        <v>5000000</v>
      </c>
      <c r="O228" s="4">
        <v>5000000</v>
      </c>
      <c r="P228" s="4">
        <v>0</v>
      </c>
      <c r="Q228" s="4">
        <v>0</v>
      </c>
      <c r="R228" s="4">
        <v>0</v>
      </c>
      <c r="S228" s="4">
        <v>0</v>
      </c>
      <c r="T228" s="23">
        <v>4.8499999999999996</v>
      </c>
      <c r="U228" s="23">
        <v>4.8499999999999996</v>
      </c>
      <c r="V228" s="5" t="s">
        <v>268</v>
      </c>
      <c r="W228" s="4">
        <v>92958</v>
      </c>
      <c r="X228" s="4">
        <v>242500</v>
      </c>
      <c r="Y228" s="14">
        <v>43509</v>
      </c>
      <c r="Z228" s="14">
        <v>46066</v>
      </c>
      <c r="AA228" s="2"/>
      <c r="AB228" s="69" t="s">
        <v>2783</v>
      </c>
      <c r="AC228" s="5" t="s">
        <v>2</v>
      </c>
      <c r="AD228" s="2"/>
      <c r="AE228" s="10"/>
      <c r="AF228" s="23"/>
      <c r="AG228" s="6"/>
      <c r="AH228" s="5" t="s">
        <v>1951</v>
      </c>
      <c r="AI228" s="5" t="s">
        <v>2558</v>
      </c>
      <c r="AJ228" s="5" t="s">
        <v>2</v>
      </c>
      <c r="AK228" s="21" t="s">
        <v>2</v>
      </c>
      <c r="AL228" s="72" t="s">
        <v>3894</v>
      </c>
      <c r="AM228" s="54" t="s">
        <v>4179</v>
      </c>
      <c r="AN228" s="34" t="s">
        <v>3085</v>
      </c>
    </row>
    <row r="229" spans="2:40" x14ac:dyDescent="0.3">
      <c r="B229" s="18" t="s">
        <v>530</v>
      </c>
      <c r="C229" s="47" t="s">
        <v>43</v>
      </c>
      <c r="D229" s="15" t="s">
        <v>3678</v>
      </c>
      <c r="E229" s="68" t="s">
        <v>2</v>
      </c>
      <c r="F229" s="55" t="s">
        <v>2</v>
      </c>
      <c r="G229" s="40" t="s">
        <v>2745</v>
      </c>
      <c r="H229" s="71" t="s">
        <v>3894</v>
      </c>
      <c r="I229" s="67" t="s">
        <v>8</v>
      </c>
      <c r="J229" s="73" t="s">
        <v>270</v>
      </c>
      <c r="K229" s="4">
        <v>5325180</v>
      </c>
      <c r="L229" s="41">
        <v>74.41</v>
      </c>
      <c r="M229" s="4">
        <v>5208700</v>
      </c>
      <c r="N229" s="4">
        <v>7000000</v>
      </c>
      <c r="O229" s="4">
        <v>5357647</v>
      </c>
      <c r="P229" s="4">
        <v>0</v>
      </c>
      <c r="Q229" s="4">
        <v>32467</v>
      </c>
      <c r="R229" s="4">
        <v>0</v>
      </c>
      <c r="S229" s="4">
        <v>0</v>
      </c>
      <c r="T229" s="23">
        <v>2.65</v>
      </c>
      <c r="U229" s="23">
        <v>6.0590000000000002</v>
      </c>
      <c r="V229" s="5" t="s">
        <v>1916</v>
      </c>
      <c r="W229" s="4">
        <v>85536</v>
      </c>
      <c r="X229" s="4">
        <v>0</v>
      </c>
      <c r="Y229" s="14">
        <v>44838</v>
      </c>
      <c r="Z229" s="14">
        <v>48228</v>
      </c>
      <c r="AA229" s="2"/>
      <c r="AB229" s="69" t="s">
        <v>3892</v>
      </c>
      <c r="AC229" s="5" t="s">
        <v>4178</v>
      </c>
      <c r="AD229" s="2"/>
      <c r="AE229" s="14">
        <v>48136</v>
      </c>
      <c r="AF229" s="23">
        <v>100</v>
      </c>
      <c r="AG229" s="6"/>
      <c r="AH229" s="5" t="s">
        <v>1660</v>
      </c>
      <c r="AI229" s="5" t="s">
        <v>3678</v>
      </c>
      <c r="AJ229" s="5" t="s">
        <v>2</v>
      </c>
      <c r="AK229" s="21" t="s">
        <v>2</v>
      </c>
      <c r="AL229" s="72" t="s">
        <v>3894</v>
      </c>
      <c r="AM229" s="54" t="s">
        <v>4179</v>
      </c>
      <c r="AN229" s="34" t="s">
        <v>1189</v>
      </c>
    </row>
    <row r="230" spans="2:40" x14ac:dyDescent="0.3">
      <c r="B230" s="18" t="s">
        <v>1952</v>
      </c>
      <c r="C230" s="47" t="s">
        <v>2559</v>
      </c>
      <c r="D230" s="15" t="s">
        <v>2313</v>
      </c>
      <c r="E230" s="68" t="s">
        <v>2</v>
      </c>
      <c r="F230" s="55" t="s">
        <v>2</v>
      </c>
      <c r="G230" s="40" t="s">
        <v>2</v>
      </c>
      <c r="H230" s="71" t="s">
        <v>2745</v>
      </c>
      <c r="I230" s="67" t="s">
        <v>3660</v>
      </c>
      <c r="J230" s="73" t="s">
        <v>270</v>
      </c>
      <c r="K230" s="4">
        <v>9972200</v>
      </c>
      <c r="L230" s="41">
        <v>95.135999999999996</v>
      </c>
      <c r="M230" s="4">
        <v>9513600</v>
      </c>
      <c r="N230" s="4">
        <v>10000000</v>
      </c>
      <c r="O230" s="4">
        <v>9991345</v>
      </c>
      <c r="P230" s="4">
        <v>0</v>
      </c>
      <c r="Q230" s="4">
        <v>5636</v>
      </c>
      <c r="R230" s="4">
        <v>0</v>
      </c>
      <c r="S230" s="4">
        <v>0</v>
      </c>
      <c r="T230" s="23">
        <v>2.75</v>
      </c>
      <c r="U230" s="23">
        <v>2.81</v>
      </c>
      <c r="V230" s="5" t="s">
        <v>3898</v>
      </c>
      <c r="W230" s="4">
        <v>4583</v>
      </c>
      <c r="X230" s="4">
        <v>275000</v>
      </c>
      <c r="Y230" s="14">
        <v>43637</v>
      </c>
      <c r="Z230" s="14">
        <v>45468</v>
      </c>
      <c r="AA230" s="2"/>
      <c r="AB230" s="69" t="s">
        <v>3892</v>
      </c>
      <c r="AC230" s="5" t="s">
        <v>4178</v>
      </c>
      <c r="AD230" s="2"/>
      <c r="AE230" s="10"/>
      <c r="AF230" s="23"/>
      <c r="AG230" s="10"/>
      <c r="AH230" s="5" t="s">
        <v>2</v>
      </c>
      <c r="AI230" s="5" t="s">
        <v>3923</v>
      </c>
      <c r="AJ230" s="5" t="s">
        <v>824</v>
      </c>
      <c r="AK230" s="21" t="s">
        <v>2</v>
      </c>
      <c r="AL230" s="72" t="s">
        <v>2745</v>
      </c>
      <c r="AM230" s="54" t="s">
        <v>4179</v>
      </c>
      <c r="AN230" s="34" t="s">
        <v>1170</v>
      </c>
    </row>
    <row r="231" spans="2:40" x14ac:dyDescent="0.3">
      <c r="B231" s="18" t="s">
        <v>3086</v>
      </c>
      <c r="C231" s="47" t="s">
        <v>1191</v>
      </c>
      <c r="D231" s="15" t="s">
        <v>2313</v>
      </c>
      <c r="E231" s="68" t="s">
        <v>2</v>
      </c>
      <c r="F231" s="55" t="s">
        <v>2</v>
      </c>
      <c r="G231" s="40" t="s">
        <v>2</v>
      </c>
      <c r="H231" s="71" t="s">
        <v>2745</v>
      </c>
      <c r="I231" s="67" t="s">
        <v>3660</v>
      </c>
      <c r="J231" s="73" t="s">
        <v>270</v>
      </c>
      <c r="K231" s="4">
        <v>2997630</v>
      </c>
      <c r="L231" s="41">
        <v>91.742000000000004</v>
      </c>
      <c r="M231" s="4">
        <v>2752260</v>
      </c>
      <c r="N231" s="4">
        <v>3000000</v>
      </c>
      <c r="O231" s="4">
        <v>2998780</v>
      </c>
      <c r="P231" s="4">
        <v>0</v>
      </c>
      <c r="Q231" s="4">
        <v>468</v>
      </c>
      <c r="R231" s="4">
        <v>0</v>
      </c>
      <c r="S231" s="4">
        <v>0</v>
      </c>
      <c r="T231" s="23">
        <v>2.5499999999999998</v>
      </c>
      <c r="U231" s="23">
        <v>2.5670000000000002</v>
      </c>
      <c r="V231" s="5" t="s">
        <v>3898</v>
      </c>
      <c r="W231" s="4">
        <v>425</v>
      </c>
      <c r="X231" s="4">
        <v>76500</v>
      </c>
      <c r="Y231" s="14">
        <v>44006</v>
      </c>
      <c r="Z231" s="14">
        <v>45837</v>
      </c>
      <c r="AA231" s="2"/>
      <c r="AB231" s="69" t="s">
        <v>3892</v>
      </c>
      <c r="AC231" s="5" t="s">
        <v>4178</v>
      </c>
      <c r="AD231" s="2"/>
      <c r="AE231" s="10"/>
      <c r="AF231" s="23"/>
      <c r="AG231" s="6"/>
      <c r="AH231" s="5" t="s">
        <v>2</v>
      </c>
      <c r="AI231" s="5" t="s">
        <v>3923</v>
      </c>
      <c r="AJ231" s="5" t="s">
        <v>824</v>
      </c>
      <c r="AK231" s="21" t="s">
        <v>2</v>
      </c>
      <c r="AL231" s="72" t="s">
        <v>2745</v>
      </c>
      <c r="AM231" s="54" t="s">
        <v>4179</v>
      </c>
      <c r="AN231" s="34" t="s">
        <v>1170</v>
      </c>
    </row>
    <row r="232" spans="2:40" x14ac:dyDescent="0.3">
      <c r="B232" s="18" t="s">
        <v>4215</v>
      </c>
      <c r="C232" s="47" t="s">
        <v>4216</v>
      </c>
      <c r="D232" s="15" t="s">
        <v>2313</v>
      </c>
      <c r="E232" s="68" t="s">
        <v>2</v>
      </c>
      <c r="F232" s="55" t="s">
        <v>2</v>
      </c>
      <c r="G232" s="40" t="s">
        <v>2</v>
      </c>
      <c r="H232" s="71" t="s">
        <v>2745</v>
      </c>
      <c r="I232" s="67" t="s">
        <v>3660</v>
      </c>
      <c r="J232" s="73" t="s">
        <v>270</v>
      </c>
      <c r="K232" s="4">
        <v>4500000</v>
      </c>
      <c r="L232" s="41">
        <v>89.234999999999999</v>
      </c>
      <c r="M232" s="4">
        <v>4015575</v>
      </c>
      <c r="N232" s="4">
        <v>4500000</v>
      </c>
      <c r="O232" s="4">
        <v>4500000</v>
      </c>
      <c r="P232" s="4">
        <v>0</v>
      </c>
      <c r="Q232" s="4">
        <v>0</v>
      </c>
      <c r="R232" s="4">
        <v>0</v>
      </c>
      <c r="S232" s="4">
        <v>0</v>
      </c>
      <c r="T232" s="23">
        <v>3.2050000000000001</v>
      </c>
      <c r="U232" s="23">
        <v>3.2050000000000001</v>
      </c>
      <c r="V232" s="5" t="s">
        <v>10</v>
      </c>
      <c r="W232" s="4">
        <v>45271</v>
      </c>
      <c r="X232" s="4">
        <v>72113</v>
      </c>
      <c r="Y232" s="14">
        <v>44622</v>
      </c>
      <c r="Z232" s="14">
        <v>46454</v>
      </c>
      <c r="AA232" s="2"/>
      <c r="AB232" s="69" t="s">
        <v>3892</v>
      </c>
      <c r="AC232" s="5" t="s">
        <v>7</v>
      </c>
      <c r="AD232" s="2"/>
      <c r="AE232" s="10"/>
      <c r="AF232" s="23"/>
      <c r="AG232" s="6"/>
      <c r="AH232" s="5" t="s">
        <v>2</v>
      </c>
      <c r="AI232" s="5" t="s">
        <v>3923</v>
      </c>
      <c r="AJ232" s="5" t="s">
        <v>824</v>
      </c>
      <c r="AK232" s="21" t="s">
        <v>2</v>
      </c>
      <c r="AL232" s="72" t="s">
        <v>2745</v>
      </c>
      <c r="AM232" s="54" t="s">
        <v>4179</v>
      </c>
      <c r="AN232" s="34" t="s">
        <v>1170</v>
      </c>
    </row>
    <row r="233" spans="2:40" x14ac:dyDescent="0.3">
      <c r="B233" s="18" t="s">
        <v>832</v>
      </c>
      <c r="C233" s="47" t="s">
        <v>3679</v>
      </c>
      <c r="D233" s="15" t="s">
        <v>44</v>
      </c>
      <c r="E233" s="68" t="s">
        <v>2</v>
      </c>
      <c r="F233" s="55" t="s">
        <v>2</v>
      </c>
      <c r="G233" s="40" t="s">
        <v>2745</v>
      </c>
      <c r="H233" s="71" t="s">
        <v>3894</v>
      </c>
      <c r="I233" s="67" t="s">
        <v>3408</v>
      </c>
      <c r="J233" s="73" t="s">
        <v>270</v>
      </c>
      <c r="K233" s="4">
        <v>5431860</v>
      </c>
      <c r="L233" s="41">
        <v>86.245999999999995</v>
      </c>
      <c r="M233" s="4">
        <v>5174760</v>
      </c>
      <c r="N233" s="4">
        <v>6000000</v>
      </c>
      <c r="O233" s="4">
        <v>5469951</v>
      </c>
      <c r="P233" s="4">
        <v>0</v>
      </c>
      <c r="Q233" s="4">
        <v>38091</v>
      </c>
      <c r="R233" s="4">
        <v>0</v>
      </c>
      <c r="S233" s="4">
        <v>0</v>
      </c>
      <c r="T233" s="23">
        <v>2.85</v>
      </c>
      <c r="U233" s="23">
        <v>4.319</v>
      </c>
      <c r="V233" s="5" t="s">
        <v>1916</v>
      </c>
      <c r="W233" s="4">
        <v>78850</v>
      </c>
      <c r="X233" s="4">
        <v>85500</v>
      </c>
      <c r="Y233" s="14">
        <v>44706</v>
      </c>
      <c r="Z233" s="14">
        <v>47498</v>
      </c>
      <c r="AA233" s="2"/>
      <c r="AB233" s="69" t="s">
        <v>3892</v>
      </c>
      <c r="AC233" s="5" t="s">
        <v>4178</v>
      </c>
      <c r="AD233" s="2"/>
      <c r="AE233" s="14">
        <v>47406</v>
      </c>
      <c r="AF233" s="23">
        <v>100</v>
      </c>
      <c r="AG233" s="6"/>
      <c r="AH233" s="5" t="s">
        <v>531</v>
      </c>
      <c r="AI233" s="5" t="s">
        <v>44</v>
      </c>
      <c r="AJ233" s="5" t="s">
        <v>2</v>
      </c>
      <c r="AK233" s="21" t="s">
        <v>2</v>
      </c>
      <c r="AL233" s="72" t="s">
        <v>3894</v>
      </c>
      <c r="AM233" s="54" t="s">
        <v>4179</v>
      </c>
      <c r="AN233" s="34" t="s">
        <v>1650</v>
      </c>
    </row>
    <row r="234" spans="2:40" x14ac:dyDescent="0.3">
      <c r="B234" s="18" t="s">
        <v>1953</v>
      </c>
      <c r="C234" s="47" t="s">
        <v>1192</v>
      </c>
      <c r="D234" s="15" t="s">
        <v>3087</v>
      </c>
      <c r="E234" s="68" t="s">
        <v>2</v>
      </c>
      <c r="F234" s="55" t="s">
        <v>2</v>
      </c>
      <c r="G234" s="40" t="s">
        <v>2745</v>
      </c>
      <c r="H234" s="71" t="s">
        <v>3894</v>
      </c>
      <c r="I234" s="67" t="s">
        <v>1164</v>
      </c>
      <c r="J234" s="73" t="s">
        <v>270</v>
      </c>
      <c r="K234" s="4">
        <v>3020640</v>
      </c>
      <c r="L234" s="41">
        <v>95.878</v>
      </c>
      <c r="M234" s="4">
        <v>2876340</v>
      </c>
      <c r="N234" s="4">
        <v>3000000</v>
      </c>
      <c r="O234" s="4">
        <v>3007165</v>
      </c>
      <c r="P234" s="4">
        <v>0</v>
      </c>
      <c r="Q234" s="4">
        <v>-4117</v>
      </c>
      <c r="R234" s="4">
        <v>0</v>
      </c>
      <c r="S234" s="4">
        <v>0</v>
      </c>
      <c r="T234" s="23">
        <v>3.5</v>
      </c>
      <c r="U234" s="23">
        <v>3.351</v>
      </c>
      <c r="V234" s="5" t="s">
        <v>3409</v>
      </c>
      <c r="W234" s="4">
        <v>13417</v>
      </c>
      <c r="X234" s="4">
        <v>105000</v>
      </c>
      <c r="Y234" s="14">
        <v>43669</v>
      </c>
      <c r="Z234" s="14">
        <v>45611</v>
      </c>
      <c r="AA234" s="2"/>
      <c r="AB234" s="69" t="s">
        <v>3892</v>
      </c>
      <c r="AC234" s="5" t="s">
        <v>4178</v>
      </c>
      <c r="AD234" s="2"/>
      <c r="AE234" s="14">
        <v>45550</v>
      </c>
      <c r="AF234" s="23">
        <v>100</v>
      </c>
      <c r="AG234" s="14">
        <v>45550</v>
      </c>
      <c r="AH234" s="5" t="s">
        <v>1661</v>
      </c>
      <c r="AI234" s="5" t="s">
        <v>3087</v>
      </c>
      <c r="AJ234" s="5" t="s">
        <v>2</v>
      </c>
      <c r="AK234" s="21" t="s">
        <v>2</v>
      </c>
      <c r="AL234" s="72" t="s">
        <v>3894</v>
      </c>
      <c r="AM234" s="54" t="s">
        <v>4179</v>
      </c>
      <c r="AN234" s="34" t="s">
        <v>828</v>
      </c>
    </row>
    <row r="235" spans="2:40" x14ac:dyDescent="0.3">
      <c r="B235" s="18" t="s">
        <v>3088</v>
      </c>
      <c r="C235" s="47" t="s">
        <v>2314</v>
      </c>
      <c r="D235" s="15" t="s">
        <v>3087</v>
      </c>
      <c r="E235" s="68" t="s">
        <v>2</v>
      </c>
      <c r="F235" s="55" t="s">
        <v>2</v>
      </c>
      <c r="G235" s="40" t="s">
        <v>2745</v>
      </c>
      <c r="H235" s="71" t="s">
        <v>3894</v>
      </c>
      <c r="I235" s="67" t="s">
        <v>1164</v>
      </c>
      <c r="J235" s="73" t="s">
        <v>270</v>
      </c>
      <c r="K235" s="4">
        <v>4857650</v>
      </c>
      <c r="L235" s="41">
        <v>89.715999999999994</v>
      </c>
      <c r="M235" s="4">
        <v>4485800</v>
      </c>
      <c r="N235" s="4">
        <v>5000000</v>
      </c>
      <c r="O235" s="4">
        <v>4866007</v>
      </c>
      <c r="P235" s="4">
        <v>0</v>
      </c>
      <c r="Q235" s="4">
        <v>8357</v>
      </c>
      <c r="R235" s="4">
        <v>0</v>
      </c>
      <c r="S235" s="4">
        <v>0</v>
      </c>
      <c r="T235" s="23">
        <v>4.75</v>
      </c>
      <c r="U235" s="23">
        <v>5.19</v>
      </c>
      <c r="V235" s="5" t="s">
        <v>3898</v>
      </c>
      <c r="W235" s="4">
        <v>19792</v>
      </c>
      <c r="X235" s="4">
        <v>118750</v>
      </c>
      <c r="Y235" s="14">
        <v>44715</v>
      </c>
      <c r="Z235" s="14">
        <v>47635</v>
      </c>
      <c r="AA235" s="2"/>
      <c r="AB235" s="69" t="s">
        <v>3892</v>
      </c>
      <c r="AC235" s="5" t="s">
        <v>4178</v>
      </c>
      <c r="AD235" s="2"/>
      <c r="AE235" s="9">
        <v>47543</v>
      </c>
      <c r="AF235" s="23">
        <v>100</v>
      </c>
      <c r="AG235" s="6"/>
      <c r="AH235" s="5" t="s">
        <v>1661</v>
      </c>
      <c r="AI235" s="5" t="s">
        <v>3087</v>
      </c>
      <c r="AJ235" s="5" t="s">
        <v>2</v>
      </c>
      <c r="AK235" s="21" t="s">
        <v>2</v>
      </c>
      <c r="AL235" s="72" t="s">
        <v>3894</v>
      </c>
      <c r="AM235" s="54" t="s">
        <v>4179</v>
      </c>
      <c r="AN235" s="34" t="s">
        <v>828</v>
      </c>
    </row>
    <row r="236" spans="2:40" x14ac:dyDescent="0.3">
      <c r="B236" s="18" t="s">
        <v>532</v>
      </c>
      <c r="C236" s="47" t="s">
        <v>2315</v>
      </c>
      <c r="D236" s="15" t="s">
        <v>3087</v>
      </c>
      <c r="E236" s="68" t="s">
        <v>2</v>
      </c>
      <c r="F236" s="55" t="s">
        <v>2</v>
      </c>
      <c r="G236" s="40" t="s">
        <v>2745</v>
      </c>
      <c r="H236" s="71" t="s">
        <v>3894</v>
      </c>
      <c r="I236" s="67" t="s">
        <v>1164</v>
      </c>
      <c r="J236" s="73" t="s">
        <v>270</v>
      </c>
      <c r="K236" s="4">
        <v>4990250</v>
      </c>
      <c r="L236" s="41">
        <v>80.141999999999996</v>
      </c>
      <c r="M236" s="4">
        <v>4007100</v>
      </c>
      <c r="N236" s="4">
        <v>5000000</v>
      </c>
      <c r="O236" s="4">
        <v>4992125</v>
      </c>
      <c r="P236" s="4">
        <v>0</v>
      </c>
      <c r="Q236" s="4">
        <v>1322</v>
      </c>
      <c r="R236" s="4">
        <v>0</v>
      </c>
      <c r="S236" s="4">
        <v>0</v>
      </c>
      <c r="T236" s="23">
        <v>1.95</v>
      </c>
      <c r="U236" s="23">
        <v>1.98</v>
      </c>
      <c r="V236" s="5" t="s">
        <v>268</v>
      </c>
      <c r="W236" s="4">
        <v>40625</v>
      </c>
      <c r="X236" s="4">
        <v>98042</v>
      </c>
      <c r="Y236" s="14">
        <v>44403</v>
      </c>
      <c r="Z236" s="14">
        <v>46966</v>
      </c>
      <c r="AA236" s="2"/>
      <c r="AB236" s="69" t="s">
        <v>3892</v>
      </c>
      <c r="AC236" s="5" t="s">
        <v>4178</v>
      </c>
      <c r="AD236" s="2"/>
      <c r="AE236" s="9">
        <v>46905</v>
      </c>
      <c r="AF236" s="23">
        <v>100</v>
      </c>
      <c r="AG236" s="6"/>
      <c r="AH236" s="5" t="s">
        <v>1661</v>
      </c>
      <c r="AI236" s="5" t="s">
        <v>3087</v>
      </c>
      <c r="AJ236" s="5" t="s">
        <v>2</v>
      </c>
      <c r="AK236" s="21" t="s">
        <v>2</v>
      </c>
      <c r="AL236" s="72" t="s">
        <v>3894</v>
      </c>
      <c r="AM236" s="54" t="s">
        <v>4179</v>
      </c>
      <c r="AN236" s="34" t="s">
        <v>828</v>
      </c>
    </row>
    <row r="237" spans="2:40" x14ac:dyDescent="0.3">
      <c r="B237" s="18" t="s">
        <v>1662</v>
      </c>
      <c r="C237" s="47" t="s">
        <v>3440</v>
      </c>
      <c r="D237" s="15" t="s">
        <v>1663</v>
      </c>
      <c r="E237" s="68" t="s">
        <v>2</v>
      </c>
      <c r="F237" s="55" t="s">
        <v>2</v>
      </c>
      <c r="G237" s="40" t="s">
        <v>2745</v>
      </c>
      <c r="H237" s="71" t="s">
        <v>3894</v>
      </c>
      <c r="I237" s="67" t="s">
        <v>3408</v>
      </c>
      <c r="J237" s="73" t="s">
        <v>270</v>
      </c>
      <c r="K237" s="4">
        <v>3243864</v>
      </c>
      <c r="L237" s="41">
        <v>99.590999999999994</v>
      </c>
      <c r="M237" s="4">
        <v>3234716</v>
      </c>
      <c r="N237" s="4">
        <v>3248000</v>
      </c>
      <c r="O237" s="4">
        <v>3247695</v>
      </c>
      <c r="P237" s="4">
        <v>0</v>
      </c>
      <c r="Q237" s="4">
        <v>987</v>
      </c>
      <c r="R237" s="4">
        <v>0</v>
      </c>
      <c r="S237" s="4">
        <v>0</v>
      </c>
      <c r="T237" s="23">
        <v>3.9</v>
      </c>
      <c r="U237" s="23">
        <v>3.9319999999999999</v>
      </c>
      <c r="V237" s="5" t="s">
        <v>3895</v>
      </c>
      <c r="W237" s="4">
        <v>24983</v>
      </c>
      <c r="X237" s="4">
        <v>126672</v>
      </c>
      <c r="Y237" s="14">
        <v>43488</v>
      </c>
      <c r="Z237" s="14">
        <v>45036</v>
      </c>
      <c r="AA237" s="2"/>
      <c r="AB237" s="69" t="s">
        <v>3892</v>
      </c>
      <c r="AC237" s="5" t="s">
        <v>4178</v>
      </c>
      <c r="AD237" s="2"/>
      <c r="AE237" s="14">
        <v>45005</v>
      </c>
      <c r="AF237" s="23">
        <v>100</v>
      </c>
      <c r="AG237" s="6"/>
      <c r="AH237" s="5" t="s">
        <v>1664</v>
      </c>
      <c r="AI237" s="5" t="s">
        <v>1663</v>
      </c>
      <c r="AJ237" s="5" t="s">
        <v>2</v>
      </c>
      <c r="AK237" s="21" t="s">
        <v>2</v>
      </c>
      <c r="AL237" s="72" t="s">
        <v>3894</v>
      </c>
      <c r="AM237" s="54" t="s">
        <v>4179</v>
      </c>
      <c r="AN237" s="34" t="s">
        <v>1650</v>
      </c>
    </row>
    <row r="238" spans="2:40" x14ac:dyDescent="0.3">
      <c r="B238" s="18" t="s">
        <v>2784</v>
      </c>
      <c r="C238" s="47" t="s">
        <v>2785</v>
      </c>
      <c r="D238" s="15" t="s">
        <v>3924</v>
      </c>
      <c r="E238" s="68" t="s">
        <v>2</v>
      </c>
      <c r="F238" s="55" t="s">
        <v>2</v>
      </c>
      <c r="G238" s="40" t="s">
        <v>3894</v>
      </c>
      <c r="H238" s="71" t="s">
        <v>2745</v>
      </c>
      <c r="I238" s="67" t="s">
        <v>1414</v>
      </c>
      <c r="J238" s="73" t="s">
        <v>270</v>
      </c>
      <c r="K238" s="4">
        <v>4989900</v>
      </c>
      <c r="L238" s="41">
        <v>97.3</v>
      </c>
      <c r="M238" s="4">
        <v>4865000</v>
      </c>
      <c r="N238" s="4">
        <v>5000000</v>
      </c>
      <c r="O238" s="4">
        <v>4996198</v>
      </c>
      <c r="P238" s="4">
        <v>0</v>
      </c>
      <c r="Q238" s="4">
        <v>1470</v>
      </c>
      <c r="R238" s="4">
        <v>0</v>
      </c>
      <c r="S238" s="4">
        <v>0</v>
      </c>
      <c r="T238" s="23">
        <v>3.7</v>
      </c>
      <c r="U238" s="23">
        <v>3.7330000000000001</v>
      </c>
      <c r="V238" s="5" t="s">
        <v>3898</v>
      </c>
      <c r="W238" s="4">
        <v>13361</v>
      </c>
      <c r="X238" s="4">
        <v>185000</v>
      </c>
      <c r="Y238" s="14">
        <v>43251</v>
      </c>
      <c r="Z238" s="14">
        <v>45813</v>
      </c>
      <c r="AA238" s="2"/>
      <c r="AB238" s="69" t="s">
        <v>3892</v>
      </c>
      <c r="AC238" s="5" t="s">
        <v>4178</v>
      </c>
      <c r="AD238" s="2"/>
      <c r="AE238" s="14">
        <v>45782</v>
      </c>
      <c r="AF238" s="23">
        <v>100</v>
      </c>
      <c r="AG238" s="10"/>
      <c r="AH238" s="5" t="s">
        <v>3089</v>
      </c>
      <c r="AI238" s="5" t="s">
        <v>3924</v>
      </c>
      <c r="AJ238" s="5" t="s">
        <v>2</v>
      </c>
      <c r="AK238" s="21" t="s">
        <v>2</v>
      </c>
      <c r="AL238" s="72" t="s">
        <v>3894</v>
      </c>
      <c r="AM238" s="54" t="s">
        <v>4179</v>
      </c>
      <c r="AN238" s="34" t="s">
        <v>512</v>
      </c>
    </row>
    <row r="239" spans="2:40" x14ac:dyDescent="0.3">
      <c r="B239" s="18" t="s">
        <v>4217</v>
      </c>
      <c r="C239" s="47" t="s">
        <v>4218</v>
      </c>
      <c r="D239" s="15" t="s">
        <v>3924</v>
      </c>
      <c r="E239" s="68" t="s">
        <v>2</v>
      </c>
      <c r="F239" s="55" t="s">
        <v>2</v>
      </c>
      <c r="G239" s="40" t="s">
        <v>3894</v>
      </c>
      <c r="H239" s="71" t="s">
        <v>2745</v>
      </c>
      <c r="I239" s="67" t="s">
        <v>1414</v>
      </c>
      <c r="J239" s="73" t="s">
        <v>270</v>
      </c>
      <c r="K239" s="4">
        <v>5182700</v>
      </c>
      <c r="L239" s="41">
        <v>98.988</v>
      </c>
      <c r="M239" s="4">
        <v>4949400</v>
      </c>
      <c r="N239" s="4">
        <v>5000000</v>
      </c>
      <c r="O239" s="4">
        <v>5035524</v>
      </c>
      <c r="P239" s="4">
        <v>0</v>
      </c>
      <c r="Q239" s="4">
        <v>-40745</v>
      </c>
      <c r="R239" s="4">
        <v>0</v>
      </c>
      <c r="S239" s="4">
        <v>0</v>
      </c>
      <c r="T239" s="23">
        <v>3.75</v>
      </c>
      <c r="U239" s="23">
        <v>2.8969999999999998</v>
      </c>
      <c r="V239" s="5" t="s">
        <v>3898</v>
      </c>
      <c r="W239" s="4">
        <v>13021</v>
      </c>
      <c r="X239" s="4">
        <v>187500</v>
      </c>
      <c r="Y239" s="14">
        <v>43551</v>
      </c>
      <c r="Z239" s="14">
        <v>45266</v>
      </c>
      <c r="AA239" s="2"/>
      <c r="AB239" s="69" t="s">
        <v>3892</v>
      </c>
      <c r="AC239" s="5" t="s">
        <v>4178</v>
      </c>
      <c r="AD239" s="2"/>
      <c r="AE239" s="14">
        <v>45236</v>
      </c>
      <c r="AF239" s="23">
        <v>100</v>
      </c>
      <c r="AG239" s="9">
        <v>45236</v>
      </c>
      <c r="AH239" s="5" t="s">
        <v>3089</v>
      </c>
      <c r="AI239" s="5" t="s">
        <v>3924</v>
      </c>
      <c r="AJ239" s="5" t="s">
        <v>2</v>
      </c>
      <c r="AK239" s="21" t="s">
        <v>2</v>
      </c>
      <c r="AL239" s="72" t="s">
        <v>3894</v>
      </c>
      <c r="AM239" s="54" t="s">
        <v>4179</v>
      </c>
      <c r="AN239" s="34" t="s">
        <v>512</v>
      </c>
    </row>
    <row r="240" spans="2:40" x14ac:dyDescent="0.3">
      <c r="B240" s="18" t="s">
        <v>833</v>
      </c>
      <c r="C240" s="47" t="s">
        <v>2560</v>
      </c>
      <c r="D240" s="15" t="s">
        <v>45</v>
      </c>
      <c r="E240" s="68" t="s">
        <v>2</v>
      </c>
      <c r="F240" s="55" t="s">
        <v>2</v>
      </c>
      <c r="G240" s="40" t="s">
        <v>3894</v>
      </c>
      <c r="H240" s="71" t="s">
        <v>2745</v>
      </c>
      <c r="I240" s="67" t="s">
        <v>287</v>
      </c>
      <c r="J240" s="73" t="s">
        <v>270</v>
      </c>
      <c r="K240" s="4">
        <v>6496945</v>
      </c>
      <c r="L240" s="41">
        <v>95.977999999999994</v>
      </c>
      <c r="M240" s="4">
        <v>6238570</v>
      </c>
      <c r="N240" s="4">
        <v>6500000</v>
      </c>
      <c r="O240" s="4">
        <v>6498946</v>
      </c>
      <c r="P240" s="4">
        <v>0</v>
      </c>
      <c r="Q240" s="4">
        <v>616</v>
      </c>
      <c r="R240" s="4">
        <v>0</v>
      </c>
      <c r="S240" s="4">
        <v>0</v>
      </c>
      <c r="T240" s="23">
        <v>2.5</v>
      </c>
      <c r="U240" s="23">
        <v>2.5099999999999998</v>
      </c>
      <c r="V240" s="5" t="s">
        <v>268</v>
      </c>
      <c r="W240" s="4">
        <v>55972</v>
      </c>
      <c r="X240" s="4">
        <v>162500</v>
      </c>
      <c r="Y240" s="14">
        <v>43697</v>
      </c>
      <c r="Z240" s="14">
        <v>45531</v>
      </c>
      <c r="AA240" s="2"/>
      <c r="AB240" s="69" t="s">
        <v>3892</v>
      </c>
      <c r="AC240" s="5" t="s">
        <v>4178</v>
      </c>
      <c r="AD240" s="2"/>
      <c r="AE240" s="14">
        <v>45500</v>
      </c>
      <c r="AF240" s="23">
        <v>100</v>
      </c>
      <c r="AG240" s="6"/>
      <c r="AH240" s="5" t="s">
        <v>1665</v>
      </c>
      <c r="AI240" s="5" t="s">
        <v>45</v>
      </c>
      <c r="AJ240" s="5" t="s">
        <v>2</v>
      </c>
      <c r="AK240" s="21" t="s">
        <v>2</v>
      </c>
      <c r="AL240" s="72" t="s">
        <v>3894</v>
      </c>
      <c r="AM240" s="54" t="s">
        <v>4179</v>
      </c>
      <c r="AN240" s="34" t="s">
        <v>819</v>
      </c>
    </row>
    <row r="241" spans="2:40" x14ac:dyDescent="0.3">
      <c r="B241" s="18" t="s">
        <v>1954</v>
      </c>
      <c r="C241" s="47" t="s">
        <v>3441</v>
      </c>
      <c r="D241" s="15" t="s">
        <v>46</v>
      </c>
      <c r="E241" s="68" t="s">
        <v>2</v>
      </c>
      <c r="F241" s="55" t="s">
        <v>2</v>
      </c>
      <c r="G241" s="40" t="s">
        <v>2745</v>
      </c>
      <c r="H241" s="71" t="s">
        <v>2745</v>
      </c>
      <c r="I241" s="67" t="s">
        <v>287</v>
      </c>
      <c r="J241" s="73" t="s">
        <v>270</v>
      </c>
      <c r="K241" s="4">
        <v>1997940</v>
      </c>
      <c r="L241" s="41">
        <v>99.763999999999996</v>
      </c>
      <c r="M241" s="4">
        <v>1995280</v>
      </c>
      <c r="N241" s="4">
        <v>2000000</v>
      </c>
      <c r="O241" s="4">
        <v>1999809</v>
      </c>
      <c r="P241" s="4">
        <v>0</v>
      </c>
      <c r="Q241" s="4">
        <v>710</v>
      </c>
      <c r="R241" s="4">
        <v>0</v>
      </c>
      <c r="S241" s="4">
        <v>0</v>
      </c>
      <c r="T241" s="23">
        <v>3.8</v>
      </c>
      <c r="U241" s="23">
        <v>3.8370000000000002</v>
      </c>
      <c r="V241" s="5" t="s">
        <v>3895</v>
      </c>
      <c r="W241" s="4">
        <v>17944</v>
      </c>
      <c r="X241" s="4">
        <v>76000</v>
      </c>
      <c r="Y241" s="14">
        <v>43927</v>
      </c>
      <c r="Z241" s="14">
        <v>45022</v>
      </c>
      <c r="AA241" s="2"/>
      <c r="AB241" s="69" t="s">
        <v>3892</v>
      </c>
      <c r="AC241" s="5" t="s">
        <v>7</v>
      </c>
      <c r="AD241" s="2"/>
      <c r="AE241" s="10"/>
      <c r="AF241" s="23"/>
      <c r="AG241" s="6"/>
      <c r="AH241" s="5" t="s">
        <v>298</v>
      </c>
      <c r="AI241" s="5" t="s">
        <v>3442</v>
      </c>
      <c r="AJ241" s="5" t="s">
        <v>824</v>
      </c>
      <c r="AK241" s="21" t="s">
        <v>2</v>
      </c>
      <c r="AL241" s="72" t="s">
        <v>3894</v>
      </c>
      <c r="AM241" s="54" t="s">
        <v>4179</v>
      </c>
      <c r="AN241" s="34" t="s">
        <v>819</v>
      </c>
    </row>
    <row r="242" spans="2:40" x14ac:dyDescent="0.3">
      <c r="B242" s="18" t="s">
        <v>3090</v>
      </c>
      <c r="C242" s="47" t="s">
        <v>1666</v>
      </c>
      <c r="D242" s="15" t="s">
        <v>46</v>
      </c>
      <c r="E242" s="68" t="s">
        <v>2</v>
      </c>
      <c r="F242" s="55" t="s">
        <v>2</v>
      </c>
      <c r="G242" s="40" t="s">
        <v>2745</v>
      </c>
      <c r="H242" s="71" t="s">
        <v>2745</v>
      </c>
      <c r="I242" s="67" t="s">
        <v>287</v>
      </c>
      <c r="J242" s="73" t="s">
        <v>270</v>
      </c>
      <c r="K242" s="4">
        <v>4994750</v>
      </c>
      <c r="L242" s="41">
        <v>94.462999999999994</v>
      </c>
      <c r="M242" s="4">
        <v>4723150</v>
      </c>
      <c r="N242" s="4">
        <v>5000000</v>
      </c>
      <c r="O242" s="4">
        <v>4995482</v>
      </c>
      <c r="P242" s="4">
        <v>0</v>
      </c>
      <c r="Q242" s="4">
        <v>732</v>
      </c>
      <c r="R242" s="4">
        <v>0</v>
      </c>
      <c r="S242" s="4">
        <v>0</v>
      </c>
      <c r="T242" s="23">
        <v>3.45</v>
      </c>
      <c r="U242" s="23">
        <v>3.4729999999999999</v>
      </c>
      <c r="V242" s="5" t="s">
        <v>3895</v>
      </c>
      <c r="W242" s="4">
        <v>43125</v>
      </c>
      <c r="X242" s="4">
        <v>86250</v>
      </c>
      <c r="Y242" s="14">
        <v>44648</v>
      </c>
      <c r="Z242" s="14">
        <v>46478</v>
      </c>
      <c r="AA242" s="2"/>
      <c r="AB242" s="69" t="s">
        <v>3892</v>
      </c>
      <c r="AC242" s="5" t="s">
        <v>4178</v>
      </c>
      <c r="AD242" s="2"/>
      <c r="AE242" s="14">
        <v>46447</v>
      </c>
      <c r="AF242" s="23">
        <v>100</v>
      </c>
      <c r="AG242" s="6"/>
      <c r="AH242" s="5" t="s">
        <v>298</v>
      </c>
      <c r="AI242" s="5" t="s">
        <v>3442</v>
      </c>
      <c r="AJ242" s="5" t="s">
        <v>824</v>
      </c>
      <c r="AK242" s="21" t="s">
        <v>2</v>
      </c>
      <c r="AL242" s="72" t="s">
        <v>3894</v>
      </c>
      <c r="AM242" s="54" t="s">
        <v>4179</v>
      </c>
      <c r="AN242" s="34" t="s">
        <v>819</v>
      </c>
    </row>
    <row r="243" spans="2:40" x14ac:dyDescent="0.3">
      <c r="B243" s="18" t="s">
        <v>4219</v>
      </c>
      <c r="C243" s="47" t="s">
        <v>4220</v>
      </c>
      <c r="D243" s="15" t="s">
        <v>1667</v>
      </c>
      <c r="E243" s="68" t="s">
        <v>2</v>
      </c>
      <c r="F243" s="55" t="s">
        <v>2</v>
      </c>
      <c r="G243" s="40" t="s">
        <v>2745</v>
      </c>
      <c r="H243" s="71" t="s">
        <v>2745</v>
      </c>
      <c r="I243" s="67" t="s">
        <v>1414</v>
      </c>
      <c r="J243" s="73" t="s">
        <v>270</v>
      </c>
      <c r="K243" s="4">
        <v>10012650</v>
      </c>
      <c r="L243" s="41">
        <v>95.415999999999997</v>
      </c>
      <c r="M243" s="4">
        <v>9541600</v>
      </c>
      <c r="N243" s="4">
        <v>10000000</v>
      </c>
      <c r="O243" s="4">
        <v>10004824</v>
      </c>
      <c r="P243" s="4">
        <v>0</v>
      </c>
      <c r="Q243" s="4">
        <v>-2214</v>
      </c>
      <c r="R243" s="4">
        <v>0</v>
      </c>
      <c r="S243" s="4">
        <v>0</v>
      </c>
      <c r="T243" s="23">
        <v>3.3660000000000001</v>
      </c>
      <c r="U243" s="23">
        <v>3.3410000000000002</v>
      </c>
      <c r="V243" s="5" t="s">
        <v>1916</v>
      </c>
      <c r="W243" s="4">
        <v>147730</v>
      </c>
      <c r="X243" s="4">
        <v>336600</v>
      </c>
      <c r="Y243" s="14">
        <v>43551</v>
      </c>
      <c r="Z243" s="14">
        <v>46045</v>
      </c>
      <c r="AA243" s="2"/>
      <c r="AB243" s="69" t="s">
        <v>3892</v>
      </c>
      <c r="AC243" s="5" t="s">
        <v>4178</v>
      </c>
      <c r="AD243" s="2"/>
      <c r="AE243" s="14">
        <v>45680</v>
      </c>
      <c r="AF243" s="23">
        <v>100</v>
      </c>
      <c r="AG243" s="9">
        <v>45680</v>
      </c>
      <c r="AH243" s="5" t="s">
        <v>834</v>
      </c>
      <c r="AI243" s="5" t="s">
        <v>1667</v>
      </c>
      <c r="AJ243" s="5" t="s">
        <v>2</v>
      </c>
      <c r="AK243" s="21" t="s">
        <v>2</v>
      </c>
      <c r="AL243" s="72" t="s">
        <v>3894</v>
      </c>
      <c r="AM243" s="54" t="s">
        <v>4179</v>
      </c>
      <c r="AN243" s="34" t="s">
        <v>512</v>
      </c>
    </row>
    <row r="244" spans="2:40" x14ac:dyDescent="0.3">
      <c r="B244" s="18" t="s">
        <v>835</v>
      </c>
      <c r="C244" s="47" t="s">
        <v>3925</v>
      </c>
      <c r="D244" s="15" t="s">
        <v>1667</v>
      </c>
      <c r="E244" s="68" t="s">
        <v>2</v>
      </c>
      <c r="F244" s="55" t="s">
        <v>2</v>
      </c>
      <c r="G244" s="40" t="s">
        <v>2745</v>
      </c>
      <c r="H244" s="71" t="s">
        <v>2745</v>
      </c>
      <c r="I244" s="67" t="s">
        <v>287</v>
      </c>
      <c r="J244" s="73" t="s">
        <v>270</v>
      </c>
      <c r="K244" s="4">
        <v>5000000</v>
      </c>
      <c r="L244" s="41">
        <v>92.787999999999997</v>
      </c>
      <c r="M244" s="4">
        <v>4639400</v>
      </c>
      <c r="N244" s="4">
        <v>5000000</v>
      </c>
      <c r="O244" s="4">
        <v>5000000</v>
      </c>
      <c r="P244" s="4">
        <v>0</v>
      </c>
      <c r="Q244" s="4">
        <v>0</v>
      </c>
      <c r="R244" s="4">
        <v>0</v>
      </c>
      <c r="S244" s="4">
        <v>0</v>
      </c>
      <c r="T244" s="23">
        <v>2.0150000000000001</v>
      </c>
      <c r="U244" s="23">
        <v>2.0150000000000001</v>
      </c>
      <c r="V244" s="5" t="s">
        <v>268</v>
      </c>
      <c r="W244" s="4">
        <v>38621</v>
      </c>
      <c r="X244" s="4">
        <v>100750</v>
      </c>
      <c r="Y244" s="14">
        <v>43871</v>
      </c>
      <c r="Z244" s="14">
        <v>46066</v>
      </c>
      <c r="AA244" s="2"/>
      <c r="AB244" s="69" t="s">
        <v>3892</v>
      </c>
      <c r="AC244" s="5" t="s">
        <v>4178</v>
      </c>
      <c r="AD244" s="2"/>
      <c r="AE244" s="14">
        <v>45701</v>
      </c>
      <c r="AF244" s="23">
        <v>100</v>
      </c>
      <c r="AG244" s="6"/>
      <c r="AH244" s="5" t="s">
        <v>834</v>
      </c>
      <c r="AI244" s="5" t="s">
        <v>1667</v>
      </c>
      <c r="AJ244" s="5" t="s">
        <v>2</v>
      </c>
      <c r="AK244" s="21" t="s">
        <v>2</v>
      </c>
      <c r="AL244" s="72" t="s">
        <v>3894</v>
      </c>
      <c r="AM244" s="54" t="s">
        <v>4179</v>
      </c>
      <c r="AN244" s="34" t="s">
        <v>819</v>
      </c>
    </row>
    <row r="245" spans="2:40" x14ac:dyDescent="0.3">
      <c r="B245" s="18" t="s">
        <v>1955</v>
      </c>
      <c r="C245" s="47" t="s">
        <v>836</v>
      </c>
      <c r="D245" s="15" t="s">
        <v>1667</v>
      </c>
      <c r="E245" s="68" t="s">
        <v>2</v>
      </c>
      <c r="F245" s="55" t="s">
        <v>2</v>
      </c>
      <c r="G245" s="40" t="s">
        <v>2745</v>
      </c>
      <c r="H245" s="71" t="s">
        <v>2745</v>
      </c>
      <c r="I245" s="67" t="s">
        <v>1414</v>
      </c>
      <c r="J245" s="73" t="s">
        <v>270</v>
      </c>
      <c r="K245" s="4">
        <v>20000000</v>
      </c>
      <c r="L245" s="41">
        <v>89.174000000000007</v>
      </c>
      <c r="M245" s="4">
        <v>17834800</v>
      </c>
      <c r="N245" s="4">
        <v>20000000</v>
      </c>
      <c r="O245" s="4">
        <v>19999538</v>
      </c>
      <c r="P245" s="4">
        <v>0</v>
      </c>
      <c r="Q245" s="4">
        <v>-219</v>
      </c>
      <c r="R245" s="4">
        <v>0</v>
      </c>
      <c r="S245" s="4">
        <v>0</v>
      </c>
      <c r="T245" s="23">
        <v>1.1970000000000001</v>
      </c>
      <c r="U245" s="23">
        <v>1.196</v>
      </c>
      <c r="V245" s="5" t="s">
        <v>3895</v>
      </c>
      <c r="W245" s="4">
        <v>44555</v>
      </c>
      <c r="X245" s="4">
        <v>239400</v>
      </c>
      <c r="Y245" s="14">
        <v>44120</v>
      </c>
      <c r="Z245" s="14">
        <v>46319</v>
      </c>
      <c r="AA245" s="2"/>
      <c r="AB245" s="69" t="s">
        <v>3892</v>
      </c>
      <c r="AC245" s="5" t="s">
        <v>4178</v>
      </c>
      <c r="AD245" s="2"/>
      <c r="AE245" s="14">
        <v>45954</v>
      </c>
      <c r="AF245" s="23">
        <v>100</v>
      </c>
      <c r="AG245" s="6"/>
      <c r="AH245" s="5" t="s">
        <v>834</v>
      </c>
      <c r="AI245" s="5" t="s">
        <v>1667</v>
      </c>
      <c r="AJ245" s="5" t="s">
        <v>2</v>
      </c>
      <c r="AK245" s="21" t="s">
        <v>2</v>
      </c>
      <c r="AL245" s="72" t="s">
        <v>3894</v>
      </c>
      <c r="AM245" s="54" t="s">
        <v>4179</v>
      </c>
      <c r="AN245" s="34" t="s">
        <v>512</v>
      </c>
    </row>
    <row r="246" spans="2:40" x14ac:dyDescent="0.3">
      <c r="B246" s="18" t="s">
        <v>3926</v>
      </c>
      <c r="C246" s="47" t="s">
        <v>3927</v>
      </c>
      <c r="D246" s="15" t="s">
        <v>1667</v>
      </c>
      <c r="E246" s="68" t="s">
        <v>2</v>
      </c>
      <c r="F246" s="55" t="s">
        <v>2</v>
      </c>
      <c r="G246" s="40" t="s">
        <v>2745</v>
      </c>
      <c r="H246" s="71" t="s">
        <v>2745</v>
      </c>
      <c r="I246" s="67" t="s">
        <v>1414</v>
      </c>
      <c r="J246" s="73" t="s">
        <v>270</v>
      </c>
      <c r="K246" s="4">
        <v>5000000</v>
      </c>
      <c r="L246" s="41">
        <v>88.92</v>
      </c>
      <c r="M246" s="4">
        <v>4446000</v>
      </c>
      <c r="N246" s="4">
        <v>5000000</v>
      </c>
      <c r="O246" s="4">
        <v>5000000</v>
      </c>
      <c r="P246" s="4">
        <v>0</v>
      </c>
      <c r="Q246" s="4">
        <v>0</v>
      </c>
      <c r="R246" s="4">
        <v>0</v>
      </c>
      <c r="S246" s="4">
        <v>0</v>
      </c>
      <c r="T246" s="23">
        <v>2.5510000000000002</v>
      </c>
      <c r="U246" s="23">
        <v>2.3260000000000001</v>
      </c>
      <c r="V246" s="5" t="s">
        <v>268</v>
      </c>
      <c r="W246" s="4">
        <v>52083</v>
      </c>
      <c r="X246" s="4">
        <v>63775</v>
      </c>
      <c r="Y246" s="14">
        <v>44593</v>
      </c>
      <c r="Z246" s="14">
        <v>46787</v>
      </c>
      <c r="AA246" s="2"/>
      <c r="AB246" s="69" t="s">
        <v>3892</v>
      </c>
      <c r="AC246" s="5" t="s">
        <v>4178</v>
      </c>
      <c r="AD246" s="2"/>
      <c r="AE246" s="14">
        <v>46422</v>
      </c>
      <c r="AF246" s="23">
        <v>100</v>
      </c>
      <c r="AG246" s="6"/>
      <c r="AH246" s="5" t="s">
        <v>834</v>
      </c>
      <c r="AI246" s="5" t="s">
        <v>1667</v>
      </c>
      <c r="AJ246" s="5" t="s">
        <v>2</v>
      </c>
      <c r="AK246" s="21" t="s">
        <v>2</v>
      </c>
      <c r="AL246" s="72" t="s">
        <v>3894</v>
      </c>
      <c r="AM246" s="54" t="s">
        <v>4179</v>
      </c>
      <c r="AN246" s="34" t="s">
        <v>512</v>
      </c>
    </row>
    <row r="247" spans="2:40" x14ac:dyDescent="0.3">
      <c r="B247" s="18" t="s">
        <v>837</v>
      </c>
      <c r="C247" s="47" t="s">
        <v>299</v>
      </c>
      <c r="D247" s="15" t="s">
        <v>2561</v>
      </c>
      <c r="E247" s="68" t="s">
        <v>2</v>
      </c>
      <c r="F247" s="55" t="s">
        <v>2</v>
      </c>
      <c r="G247" s="40" t="s">
        <v>3894</v>
      </c>
      <c r="H247" s="71" t="s">
        <v>2745</v>
      </c>
      <c r="I247" s="67" t="s">
        <v>287</v>
      </c>
      <c r="J247" s="73" t="s">
        <v>270</v>
      </c>
      <c r="K247" s="4">
        <v>5004440</v>
      </c>
      <c r="L247" s="41">
        <v>97.332999999999998</v>
      </c>
      <c r="M247" s="4">
        <v>4866650</v>
      </c>
      <c r="N247" s="4">
        <v>5000000</v>
      </c>
      <c r="O247" s="4">
        <v>5004200</v>
      </c>
      <c r="P247" s="4">
        <v>0</v>
      </c>
      <c r="Q247" s="4">
        <v>-240</v>
      </c>
      <c r="R247" s="4">
        <v>0</v>
      </c>
      <c r="S247" s="4">
        <v>0</v>
      </c>
      <c r="T247" s="23">
        <v>4.5960000000000001</v>
      </c>
      <c r="U247" s="23">
        <v>4.4189999999999996</v>
      </c>
      <c r="V247" s="5" t="s">
        <v>1916</v>
      </c>
      <c r="W247" s="4">
        <v>98942</v>
      </c>
      <c r="X247" s="4">
        <v>0</v>
      </c>
      <c r="Y247" s="14">
        <v>44761</v>
      </c>
      <c r="Z247" s="14">
        <v>47690</v>
      </c>
      <c r="AA247" s="2"/>
      <c r="AB247" s="69" t="s">
        <v>3892</v>
      </c>
      <c r="AC247" s="5" t="s">
        <v>4178</v>
      </c>
      <c r="AD247" s="2"/>
      <c r="AE247" s="9">
        <v>47629</v>
      </c>
      <c r="AF247" s="23">
        <v>100</v>
      </c>
      <c r="AG247" s="9">
        <v>47629</v>
      </c>
      <c r="AH247" s="5" t="s">
        <v>3680</v>
      </c>
      <c r="AI247" s="5" t="s">
        <v>2561</v>
      </c>
      <c r="AJ247" s="5" t="s">
        <v>2</v>
      </c>
      <c r="AK247" s="21" t="s">
        <v>2</v>
      </c>
      <c r="AL247" s="72" t="s">
        <v>3894</v>
      </c>
      <c r="AM247" s="54" t="s">
        <v>4179</v>
      </c>
      <c r="AN247" s="34" t="s">
        <v>819</v>
      </c>
    </row>
    <row r="248" spans="2:40" x14ac:dyDescent="0.3">
      <c r="B248" s="18" t="s">
        <v>1956</v>
      </c>
      <c r="C248" s="47" t="s">
        <v>2786</v>
      </c>
      <c r="D248" s="15" t="s">
        <v>47</v>
      </c>
      <c r="E248" s="68" t="s">
        <v>2</v>
      </c>
      <c r="F248" s="55" t="s">
        <v>2</v>
      </c>
      <c r="G248" s="40" t="s">
        <v>3894</v>
      </c>
      <c r="H248" s="71" t="s">
        <v>2745</v>
      </c>
      <c r="I248" s="67" t="s">
        <v>287</v>
      </c>
      <c r="J248" s="73" t="s">
        <v>270</v>
      </c>
      <c r="K248" s="4">
        <v>4982690</v>
      </c>
      <c r="L248" s="41">
        <v>104.375</v>
      </c>
      <c r="M248" s="4">
        <v>5218750</v>
      </c>
      <c r="N248" s="4">
        <v>5000000</v>
      </c>
      <c r="O248" s="4">
        <v>4990418</v>
      </c>
      <c r="P248" s="4">
        <v>0</v>
      </c>
      <c r="Q248" s="4">
        <v>7728</v>
      </c>
      <c r="R248" s="4">
        <v>0</v>
      </c>
      <c r="S248" s="4">
        <v>0</v>
      </c>
      <c r="T248" s="23">
        <v>5.8339999999999996</v>
      </c>
      <c r="U248" s="23">
        <v>5.8259999999999996</v>
      </c>
      <c r="V248" s="5" t="s">
        <v>3895</v>
      </c>
      <c r="W248" s="4">
        <v>53478</v>
      </c>
      <c r="X248" s="4">
        <v>0</v>
      </c>
      <c r="Y248" s="14">
        <v>44853</v>
      </c>
      <c r="Z248" s="14">
        <v>48877</v>
      </c>
      <c r="AA248" s="2"/>
      <c r="AB248" s="69" t="s">
        <v>3892</v>
      </c>
      <c r="AC248" s="5" t="s">
        <v>4178</v>
      </c>
      <c r="AD248" s="2"/>
      <c r="AE248" s="14">
        <v>48512</v>
      </c>
      <c r="AF248" s="23">
        <v>100</v>
      </c>
      <c r="AG248" s="6"/>
      <c r="AH248" s="5" t="s">
        <v>1433</v>
      </c>
      <c r="AI248" s="5" t="s">
        <v>47</v>
      </c>
      <c r="AJ248" s="5" t="s">
        <v>2</v>
      </c>
      <c r="AK248" s="21" t="s">
        <v>2</v>
      </c>
      <c r="AL248" s="72" t="s">
        <v>3894</v>
      </c>
      <c r="AM248" s="54" t="s">
        <v>4179</v>
      </c>
      <c r="AN248" s="34" t="s">
        <v>819</v>
      </c>
    </row>
    <row r="249" spans="2:40" x14ac:dyDescent="0.3">
      <c r="B249" s="18" t="s">
        <v>3091</v>
      </c>
      <c r="C249" s="47" t="s">
        <v>1668</v>
      </c>
      <c r="D249" s="15" t="s">
        <v>2316</v>
      </c>
      <c r="E249" s="68" t="s">
        <v>2</v>
      </c>
      <c r="F249" s="55" t="s">
        <v>2</v>
      </c>
      <c r="G249" s="40" t="s">
        <v>2745</v>
      </c>
      <c r="H249" s="71" t="s">
        <v>3894</v>
      </c>
      <c r="I249" s="67" t="s">
        <v>8</v>
      </c>
      <c r="J249" s="73" t="s">
        <v>270</v>
      </c>
      <c r="K249" s="4">
        <v>15242850</v>
      </c>
      <c r="L249" s="41">
        <v>92.54</v>
      </c>
      <c r="M249" s="4">
        <v>13881000</v>
      </c>
      <c r="N249" s="4">
        <v>15000000</v>
      </c>
      <c r="O249" s="4">
        <v>15135320</v>
      </c>
      <c r="P249" s="4">
        <v>0</v>
      </c>
      <c r="Q249" s="4">
        <v>-38505</v>
      </c>
      <c r="R249" s="4">
        <v>0</v>
      </c>
      <c r="S249" s="4">
        <v>0</v>
      </c>
      <c r="T249" s="23">
        <v>2.6</v>
      </c>
      <c r="U249" s="23">
        <v>2.3180000000000001</v>
      </c>
      <c r="V249" s="5" t="s">
        <v>268</v>
      </c>
      <c r="W249" s="4">
        <v>147333</v>
      </c>
      <c r="X249" s="4">
        <v>390000</v>
      </c>
      <c r="Y249" s="14">
        <v>43873</v>
      </c>
      <c r="Z249" s="14">
        <v>46249</v>
      </c>
      <c r="AA249" s="2"/>
      <c r="AB249" s="69" t="s">
        <v>3892</v>
      </c>
      <c r="AC249" s="5" t="s">
        <v>4178</v>
      </c>
      <c r="AD249" s="2"/>
      <c r="AE249" s="9">
        <v>46157</v>
      </c>
      <c r="AF249" s="23">
        <v>100</v>
      </c>
      <c r="AG249" s="9">
        <v>46157</v>
      </c>
      <c r="AH249" s="5" t="s">
        <v>838</v>
      </c>
      <c r="AI249" s="5" t="s">
        <v>533</v>
      </c>
      <c r="AJ249" s="5" t="s">
        <v>3443</v>
      </c>
      <c r="AK249" s="21" t="s">
        <v>2</v>
      </c>
      <c r="AL249" s="72" t="s">
        <v>3894</v>
      </c>
      <c r="AM249" s="54" t="s">
        <v>4179</v>
      </c>
      <c r="AN249" s="34" t="s">
        <v>1189</v>
      </c>
    </row>
    <row r="250" spans="2:40" x14ac:dyDescent="0.3">
      <c r="B250" s="18" t="s">
        <v>4221</v>
      </c>
      <c r="C250" s="47" t="s">
        <v>2787</v>
      </c>
      <c r="D250" s="15" t="s">
        <v>2316</v>
      </c>
      <c r="E250" s="68" t="s">
        <v>2</v>
      </c>
      <c r="F250" s="55" t="s">
        <v>2</v>
      </c>
      <c r="G250" s="40" t="s">
        <v>2745</v>
      </c>
      <c r="H250" s="71" t="s">
        <v>3894</v>
      </c>
      <c r="I250" s="67" t="s">
        <v>8</v>
      </c>
      <c r="J250" s="73" t="s">
        <v>270</v>
      </c>
      <c r="K250" s="4">
        <v>3999840</v>
      </c>
      <c r="L250" s="41">
        <v>79.89</v>
      </c>
      <c r="M250" s="4">
        <v>3195600</v>
      </c>
      <c r="N250" s="4">
        <v>4000000</v>
      </c>
      <c r="O250" s="4">
        <v>3999960</v>
      </c>
      <c r="P250" s="4">
        <v>0</v>
      </c>
      <c r="Q250" s="4">
        <v>120</v>
      </c>
      <c r="R250" s="4">
        <v>0</v>
      </c>
      <c r="S250" s="4">
        <v>0</v>
      </c>
      <c r="T250" s="23">
        <v>2.5390000000000001</v>
      </c>
      <c r="U250" s="23">
        <v>2.5390000000000001</v>
      </c>
      <c r="V250" s="5" t="s">
        <v>268</v>
      </c>
      <c r="W250" s="4">
        <v>42317</v>
      </c>
      <c r="X250" s="4">
        <v>67707</v>
      </c>
      <c r="Y250" s="14">
        <v>44726</v>
      </c>
      <c r="Z250" s="14">
        <v>48245</v>
      </c>
      <c r="AA250" s="2"/>
      <c r="AB250" s="69" t="s">
        <v>3892</v>
      </c>
      <c r="AC250" s="5" t="s">
        <v>4178</v>
      </c>
      <c r="AD250" s="2"/>
      <c r="AE250" s="14">
        <v>48153</v>
      </c>
      <c r="AF250" s="23">
        <v>100</v>
      </c>
      <c r="AG250" s="10"/>
      <c r="AH250" s="5" t="s">
        <v>838</v>
      </c>
      <c r="AI250" s="5" t="s">
        <v>533</v>
      </c>
      <c r="AJ250" s="5" t="s">
        <v>3443</v>
      </c>
      <c r="AK250" s="21" t="s">
        <v>2</v>
      </c>
      <c r="AL250" s="72" t="s">
        <v>3894</v>
      </c>
      <c r="AM250" s="54" t="s">
        <v>4179</v>
      </c>
      <c r="AN250" s="34" t="s">
        <v>1189</v>
      </c>
    </row>
    <row r="251" spans="2:40" x14ac:dyDescent="0.3">
      <c r="B251" s="18" t="s">
        <v>839</v>
      </c>
      <c r="C251" s="47" t="s">
        <v>1669</v>
      </c>
      <c r="D251" s="15" t="s">
        <v>2317</v>
      </c>
      <c r="E251" s="68" t="s">
        <v>2</v>
      </c>
      <c r="F251" s="55" t="s">
        <v>2</v>
      </c>
      <c r="G251" s="40" t="s">
        <v>2745</v>
      </c>
      <c r="H251" s="71" t="s">
        <v>3894</v>
      </c>
      <c r="I251" s="67" t="s">
        <v>8</v>
      </c>
      <c r="J251" s="73" t="s">
        <v>270</v>
      </c>
      <c r="K251" s="4">
        <v>3031170</v>
      </c>
      <c r="L251" s="41">
        <v>98.504999999999995</v>
      </c>
      <c r="M251" s="4">
        <v>2955150</v>
      </c>
      <c r="N251" s="4">
        <v>3000000</v>
      </c>
      <c r="O251" s="4">
        <v>3006356</v>
      </c>
      <c r="P251" s="4">
        <v>0</v>
      </c>
      <c r="Q251" s="4">
        <v>-6968</v>
      </c>
      <c r="R251" s="4">
        <v>0</v>
      </c>
      <c r="S251" s="4">
        <v>0</v>
      </c>
      <c r="T251" s="23">
        <v>3.875</v>
      </c>
      <c r="U251" s="23">
        <v>3.629</v>
      </c>
      <c r="V251" s="5" t="s">
        <v>3898</v>
      </c>
      <c r="W251" s="4">
        <v>5167</v>
      </c>
      <c r="X251" s="4">
        <v>116250</v>
      </c>
      <c r="Y251" s="14">
        <v>43551</v>
      </c>
      <c r="Z251" s="14">
        <v>45275</v>
      </c>
      <c r="AA251" s="2"/>
      <c r="AB251" s="69" t="s">
        <v>3892</v>
      </c>
      <c r="AC251" s="5" t="s">
        <v>4178</v>
      </c>
      <c r="AD251" s="2"/>
      <c r="AE251" s="14">
        <v>45245</v>
      </c>
      <c r="AF251" s="23">
        <v>100</v>
      </c>
      <c r="AG251" s="9">
        <v>45245</v>
      </c>
      <c r="AH251" s="5" t="s">
        <v>2</v>
      </c>
      <c r="AI251" s="5" t="s">
        <v>1957</v>
      </c>
      <c r="AJ251" s="5" t="s">
        <v>824</v>
      </c>
      <c r="AK251" s="21" t="s">
        <v>2</v>
      </c>
      <c r="AL251" s="72" t="s">
        <v>3894</v>
      </c>
      <c r="AM251" s="54" t="s">
        <v>4179</v>
      </c>
      <c r="AN251" s="34" t="s">
        <v>1189</v>
      </c>
    </row>
    <row r="252" spans="2:40" x14ac:dyDescent="0.3">
      <c r="B252" s="18" t="s">
        <v>1958</v>
      </c>
      <c r="C252" s="47" t="s">
        <v>2788</v>
      </c>
      <c r="D252" s="15" t="s">
        <v>2317</v>
      </c>
      <c r="E252" s="68" t="s">
        <v>2</v>
      </c>
      <c r="F252" s="55" t="s">
        <v>2</v>
      </c>
      <c r="G252" s="40" t="s">
        <v>2745</v>
      </c>
      <c r="H252" s="71" t="s">
        <v>3894</v>
      </c>
      <c r="I252" s="67" t="s">
        <v>8</v>
      </c>
      <c r="J252" s="73" t="s">
        <v>270</v>
      </c>
      <c r="K252" s="4">
        <v>4990550</v>
      </c>
      <c r="L252" s="41">
        <v>97.192999999999998</v>
      </c>
      <c r="M252" s="4">
        <v>4859650</v>
      </c>
      <c r="N252" s="4">
        <v>5000000</v>
      </c>
      <c r="O252" s="4">
        <v>4995877</v>
      </c>
      <c r="P252" s="4">
        <v>0</v>
      </c>
      <c r="Q252" s="4">
        <v>1282</v>
      </c>
      <c r="R252" s="4">
        <v>0</v>
      </c>
      <c r="S252" s="4">
        <v>0</v>
      </c>
      <c r="T252" s="23">
        <v>4.25</v>
      </c>
      <c r="U252" s="23">
        <v>4.28</v>
      </c>
      <c r="V252" s="5" t="s">
        <v>3898</v>
      </c>
      <c r="W252" s="4">
        <v>9444</v>
      </c>
      <c r="X252" s="4">
        <v>212500</v>
      </c>
      <c r="Y252" s="14">
        <v>43269</v>
      </c>
      <c r="Z252" s="14">
        <v>46006</v>
      </c>
      <c r="AA252" s="2"/>
      <c r="AB252" s="69" t="s">
        <v>3892</v>
      </c>
      <c r="AC252" s="5" t="s">
        <v>4178</v>
      </c>
      <c r="AD252" s="2"/>
      <c r="AE252" s="14">
        <v>45945</v>
      </c>
      <c r="AF252" s="23">
        <v>100</v>
      </c>
      <c r="AG252" s="6"/>
      <c r="AH252" s="5" t="s">
        <v>2</v>
      </c>
      <c r="AI252" s="5" t="s">
        <v>1957</v>
      </c>
      <c r="AJ252" s="5" t="s">
        <v>824</v>
      </c>
      <c r="AK252" s="21" t="s">
        <v>2</v>
      </c>
      <c r="AL252" s="72" t="s">
        <v>3894</v>
      </c>
      <c r="AM252" s="54" t="s">
        <v>4179</v>
      </c>
      <c r="AN252" s="34" t="s">
        <v>1189</v>
      </c>
    </row>
    <row r="253" spans="2:40" x14ac:dyDescent="0.3">
      <c r="B253" s="18" t="s">
        <v>3092</v>
      </c>
      <c r="C253" s="47" t="s">
        <v>1193</v>
      </c>
      <c r="D253" s="15" t="s">
        <v>534</v>
      </c>
      <c r="E253" s="68" t="s">
        <v>2</v>
      </c>
      <c r="F253" s="55" t="s">
        <v>2</v>
      </c>
      <c r="G253" s="40" t="s">
        <v>2745</v>
      </c>
      <c r="H253" s="71" t="s">
        <v>3894</v>
      </c>
      <c r="I253" s="67" t="s">
        <v>8</v>
      </c>
      <c r="J253" s="73" t="s">
        <v>270</v>
      </c>
      <c r="K253" s="4">
        <v>4764900</v>
      </c>
      <c r="L253" s="41">
        <v>99.037999999999997</v>
      </c>
      <c r="M253" s="4">
        <v>4951900</v>
      </c>
      <c r="N253" s="4">
        <v>5000000</v>
      </c>
      <c r="O253" s="4">
        <v>4974327</v>
      </c>
      <c r="P253" s="4">
        <v>0</v>
      </c>
      <c r="Q253" s="4">
        <v>54654</v>
      </c>
      <c r="R253" s="4">
        <v>0</v>
      </c>
      <c r="S253" s="4">
        <v>0</v>
      </c>
      <c r="T253" s="23">
        <v>3.25</v>
      </c>
      <c r="U253" s="23">
        <v>4.4020000000000001</v>
      </c>
      <c r="V253" s="5" t="s">
        <v>3898</v>
      </c>
      <c r="W253" s="4">
        <v>7222</v>
      </c>
      <c r="X253" s="4">
        <v>162500</v>
      </c>
      <c r="Y253" s="14">
        <v>43430</v>
      </c>
      <c r="Z253" s="14">
        <v>45092</v>
      </c>
      <c r="AA253" s="2"/>
      <c r="AB253" s="69" t="s">
        <v>3892</v>
      </c>
      <c r="AC253" s="5" t="s">
        <v>7</v>
      </c>
      <c r="AD253" s="2"/>
      <c r="AE253" s="14">
        <v>45002</v>
      </c>
      <c r="AF253" s="23">
        <v>100</v>
      </c>
      <c r="AG253" s="6"/>
      <c r="AH253" s="5" t="s">
        <v>1194</v>
      </c>
      <c r="AI253" s="5" t="s">
        <v>534</v>
      </c>
      <c r="AJ253" s="5" t="s">
        <v>2</v>
      </c>
      <c r="AK253" s="21" t="s">
        <v>2</v>
      </c>
      <c r="AL253" s="72" t="s">
        <v>3894</v>
      </c>
      <c r="AM253" s="54" t="s">
        <v>4179</v>
      </c>
      <c r="AN253" s="34" t="s">
        <v>1189</v>
      </c>
    </row>
    <row r="254" spans="2:40" x14ac:dyDescent="0.3">
      <c r="B254" s="18" t="s">
        <v>4222</v>
      </c>
      <c r="C254" s="47" t="s">
        <v>1959</v>
      </c>
      <c r="D254" s="15" t="s">
        <v>48</v>
      </c>
      <c r="E254" s="68" t="s">
        <v>2</v>
      </c>
      <c r="F254" s="55" t="s">
        <v>2</v>
      </c>
      <c r="G254" s="40" t="s">
        <v>2745</v>
      </c>
      <c r="H254" s="71" t="s">
        <v>3894</v>
      </c>
      <c r="I254" s="67" t="s">
        <v>1164</v>
      </c>
      <c r="J254" s="73" t="s">
        <v>270</v>
      </c>
      <c r="K254" s="4">
        <v>4525000</v>
      </c>
      <c r="L254" s="41">
        <v>96.569000000000003</v>
      </c>
      <c r="M254" s="4">
        <v>4345605</v>
      </c>
      <c r="N254" s="4">
        <v>4500000</v>
      </c>
      <c r="O254" s="4">
        <v>4517168</v>
      </c>
      <c r="P254" s="4">
        <v>0</v>
      </c>
      <c r="Q254" s="4">
        <v>-7832</v>
      </c>
      <c r="R254" s="4">
        <v>0</v>
      </c>
      <c r="S254" s="4">
        <v>0</v>
      </c>
      <c r="T254" s="23">
        <v>4.875</v>
      </c>
      <c r="U254" s="23">
        <v>4.6150000000000002</v>
      </c>
      <c r="V254" s="5" t="s">
        <v>1916</v>
      </c>
      <c r="W254" s="4">
        <v>101156</v>
      </c>
      <c r="X254" s="4">
        <v>158438</v>
      </c>
      <c r="Y254" s="14">
        <v>44648</v>
      </c>
      <c r="Z254" s="14">
        <v>46218</v>
      </c>
      <c r="AA254" s="2"/>
      <c r="AB254" s="69" t="s">
        <v>3892</v>
      </c>
      <c r="AC254" s="5" t="s">
        <v>4178</v>
      </c>
      <c r="AD254" s="2"/>
      <c r="AE254" s="14">
        <v>45488</v>
      </c>
      <c r="AF254" s="23">
        <v>100</v>
      </c>
      <c r="AG254" s="9">
        <v>45488</v>
      </c>
      <c r="AH254" s="5" t="s">
        <v>2</v>
      </c>
      <c r="AI254" s="5" t="s">
        <v>2318</v>
      </c>
      <c r="AJ254" s="5" t="s">
        <v>824</v>
      </c>
      <c r="AK254" s="21" t="s">
        <v>2</v>
      </c>
      <c r="AL254" s="72" t="s">
        <v>2745</v>
      </c>
      <c r="AM254" s="54" t="s">
        <v>4179</v>
      </c>
      <c r="AN254" s="34" t="s">
        <v>828</v>
      </c>
    </row>
    <row r="255" spans="2:40" x14ac:dyDescent="0.3">
      <c r="B255" s="18" t="s">
        <v>840</v>
      </c>
      <c r="C255" s="47" t="s">
        <v>300</v>
      </c>
      <c r="D255" s="15" t="s">
        <v>841</v>
      </c>
      <c r="E255" s="68" t="s">
        <v>2</v>
      </c>
      <c r="F255" s="55" t="s">
        <v>2</v>
      </c>
      <c r="G255" s="40" t="s">
        <v>2745</v>
      </c>
      <c r="H255" s="71" t="s">
        <v>3894</v>
      </c>
      <c r="I255" s="67" t="s">
        <v>3408</v>
      </c>
      <c r="J255" s="73" t="s">
        <v>270</v>
      </c>
      <c r="K255" s="4">
        <v>4946600</v>
      </c>
      <c r="L255" s="41">
        <v>97.221999999999994</v>
      </c>
      <c r="M255" s="4">
        <v>4861100</v>
      </c>
      <c r="N255" s="4">
        <v>5000000</v>
      </c>
      <c r="O255" s="4">
        <v>4977083</v>
      </c>
      <c r="P255" s="4">
        <v>0</v>
      </c>
      <c r="Q255" s="4">
        <v>7839</v>
      </c>
      <c r="R255" s="4">
        <v>0</v>
      </c>
      <c r="S255" s="4">
        <v>0</v>
      </c>
      <c r="T255" s="23">
        <v>4.05</v>
      </c>
      <c r="U255" s="23">
        <v>4.2309999999999999</v>
      </c>
      <c r="V255" s="5" t="s">
        <v>10</v>
      </c>
      <c r="W255" s="4">
        <v>59625</v>
      </c>
      <c r="X255" s="4">
        <v>202500</v>
      </c>
      <c r="Y255" s="14">
        <v>43423</v>
      </c>
      <c r="Z255" s="14">
        <v>45915</v>
      </c>
      <c r="AA255" s="2"/>
      <c r="AB255" s="69" t="s">
        <v>3892</v>
      </c>
      <c r="AC255" s="5" t="s">
        <v>4178</v>
      </c>
      <c r="AD255" s="2"/>
      <c r="AE255" s="14">
        <v>45823</v>
      </c>
      <c r="AF255" s="23">
        <v>100</v>
      </c>
      <c r="AG255" s="6"/>
      <c r="AH255" s="5" t="s">
        <v>2789</v>
      </c>
      <c r="AI255" s="5" t="s">
        <v>841</v>
      </c>
      <c r="AJ255" s="5" t="s">
        <v>2</v>
      </c>
      <c r="AK255" s="21" t="s">
        <v>2</v>
      </c>
      <c r="AL255" s="72" t="s">
        <v>3894</v>
      </c>
      <c r="AM255" s="54" t="s">
        <v>4179</v>
      </c>
      <c r="AN255" s="34" t="s">
        <v>1650</v>
      </c>
    </row>
    <row r="256" spans="2:40" x14ac:dyDescent="0.3">
      <c r="B256" s="18" t="s">
        <v>3093</v>
      </c>
      <c r="C256" s="47" t="s">
        <v>4223</v>
      </c>
      <c r="D256" s="15" t="s">
        <v>3444</v>
      </c>
      <c r="E256" s="68" t="s">
        <v>2</v>
      </c>
      <c r="F256" s="55" t="s">
        <v>2</v>
      </c>
      <c r="G256" s="40" t="s">
        <v>2745</v>
      </c>
      <c r="H256" s="71" t="s">
        <v>2745</v>
      </c>
      <c r="I256" s="67" t="s">
        <v>3660</v>
      </c>
      <c r="J256" s="73" t="s">
        <v>270</v>
      </c>
      <c r="K256" s="4">
        <v>9469895</v>
      </c>
      <c r="L256" s="41">
        <v>81.463999999999999</v>
      </c>
      <c r="M256" s="4">
        <v>7739080</v>
      </c>
      <c r="N256" s="4">
        <v>9500000</v>
      </c>
      <c r="O256" s="4">
        <v>9475639</v>
      </c>
      <c r="P256" s="4">
        <v>0</v>
      </c>
      <c r="Q256" s="4">
        <v>4122</v>
      </c>
      <c r="R256" s="4">
        <v>0</v>
      </c>
      <c r="S256" s="4">
        <v>0</v>
      </c>
      <c r="T256" s="23">
        <v>1.625</v>
      </c>
      <c r="U256" s="23">
        <v>1.673</v>
      </c>
      <c r="V256" s="5" t="s">
        <v>268</v>
      </c>
      <c r="W256" s="4">
        <v>62608</v>
      </c>
      <c r="X256" s="4">
        <v>154375</v>
      </c>
      <c r="Y256" s="14">
        <v>44413</v>
      </c>
      <c r="Z256" s="14">
        <v>46970</v>
      </c>
      <c r="AA256" s="2"/>
      <c r="AB256" s="69" t="s">
        <v>3892</v>
      </c>
      <c r="AC256" s="5" t="s">
        <v>4178</v>
      </c>
      <c r="AD256" s="2"/>
      <c r="AE256" s="14">
        <v>46909</v>
      </c>
      <c r="AF256" s="23">
        <v>100</v>
      </c>
      <c r="AG256" s="6"/>
      <c r="AH256" s="5" t="s">
        <v>2319</v>
      </c>
      <c r="AI256" s="5" t="s">
        <v>1195</v>
      </c>
      <c r="AJ256" s="5" t="s">
        <v>824</v>
      </c>
      <c r="AK256" s="21" t="s">
        <v>2</v>
      </c>
      <c r="AL256" s="72" t="s">
        <v>3894</v>
      </c>
      <c r="AM256" s="54" t="s">
        <v>4179</v>
      </c>
      <c r="AN256" s="34" t="s">
        <v>1170</v>
      </c>
    </row>
    <row r="257" spans="2:40" x14ac:dyDescent="0.3">
      <c r="B257" s="18" t="s">
        <v>4224</v>
      </c>
      <c r="C257" s="47" t="s">
        <v>1670</v>
      </c>
      <c r="D257" s="15" t="s">
        <v>2562</v>
      </c>
      <c r="E257" s="68" t="s">
        <v>2</v>
      </c>
      <c r="F257" s="55" t="s">
        <v>2</v>
      </c>
      <c r="G257" s="40" t="s">
        <v>2</v>
      </c>
      <c r="H257" s="71" t="s">
        <v>3894</v>
      </c>
      <c r="I257" s="67" t="s">
        <v>8</v>
      </c>
      <c r="J257" s="73" t="s">
        <v>270</v>
      </c>
      <c r="K257" s="4">
        <v>10000000</v>
      </c>
      <c r="L257" s="41">
        <v>94.375</v>
      </c>
      <c r="M257" s="4">
        <v>9437500</v>
      </c>
      <c r="N257" s="4">
        <v>10000000</v>
      </c>
      <c r="O257" s="4">
        <v>10000000</v>
      </c>
      <c r="P257" s="4">
        <v>0</v>
      </c>
      <c r="Q257" s="4">
        <v>0</v>
      </c>
      <c r="R257" s="4">
        <v>0</v>
      </c>
      <c r="S257" s="4">
        <v>0</v>
      </c>
      <c r="T257" s="23">
        <v>2.56</v>
      </c>
      <c r="U257" s="23">
        <v>2.56</v>
      </c>
      <c r="V257" s="5" t="s">
        <v>3898</v>
      </c>
      <c r="W257" s="4">
        <v>19911</v>
      </c>
      <c r="X257" s="4">
        <v>256000</v>
      </c>
      <c r="Y257" s="14">
        <v>44368</v>
      </c>
      <c r="Z257" s="14">
        <v>45464</v>
      </c>
      <c r="AA257" s="2"/>
      <c r="AB257" s="69" t="s">
        <v>1671</v>
      </c>
      <c r="AC257" s="5" t="s">
        <v>2</v>
      </c>
      <c r="AD257" s="2"/>
      <c r="AE257" s="10"/>
      <c r="AF257" s="23"/>
      <c r="AG257" s="6"/>
      <c r="AH257" s="5" t="s">
        <v>2</v>
      </c>
      <c r="AI257" s="5" t="s">
        <v>2562</v>
      </c>
      <c r="AJ257" s="5" t="s">
        <v>2</v>
      </c>
      <c r="AK257" s="21" t="s">
        <v>2</v>
      </c>
      <c r="AL257" s="72" t="s">
        <v>3894</v>
      </c>
      <c r="AM257" s="54" t="s">
        <v>4179</v>
      </c>
      <c r="AN257" s="34" t="s">
        <v>1189</v>
      </c>
    </row>
    <row r="258" spans="2:40" x14ac:dyDescent="0.3">
      <c r="B258" s="18" t="s">
        <v>842</v>
      </c>
      <c r="C258" s="47" t="s">
        <v>3928</v>
      </c>
      <c r="D258" s="15" t="s">
        <v>2562</v>
      </c>
      <c r="E258" s="68" t="s">
        <v>2</v>
      </c>
      <c r="F258" s="55" t="s">
        <v>2</v>
      </c>
      <c r="G258" s="40" t="s">
        <v>2</v>
      </c>
      <c r="H258" s="71" t="s">
        <v>3894</v>
      </c>
      <c r="I258" s="67" t="s">
        <v>8</v>
      </c>
      <c r="J258" s="73" t="s">
        <v>270</v>
      </c>
      <c r="K258" s="4">
        <v>5000000</v>
      </c>
      <c r="L258" s="41">
        <v>88.114000000000004</v>
      </c>
      <c r="M258" s="4">
        <v>4405700</v>
      </c>
      <c r="N258" s="4">
        <v>5000000</v>
      </c>
      <c r="O258" s="4">
        <v>5000000</v>
      </c>
      <c r="P258" s="4">
        <v>0</v>
      </c>
      <c r="Q258" s="4">
        <v>0</v>
      </c>
      <c r="R258" s="4">
        <v>0</v>
      </c>
      <c r="S258" s="4">
        <v>0</v>
      </c>
      <c r="T258" s="23">
        <v>3.27</v>
      </c>
      <c r="U258" s="23">
        <v>3.27</v>
      </c>
      <c r="V258" s="5" t="s">
        <v>268</v>
      </c>
      <c r="W258" s="4">
        <v>60858</v>
      </c>
      <c r="X258" s="4">
        <v>163500</v>
      </c>
      <c r="Y258" s="14">
        <v>44425</v>
      </c>
      <c r="Z258" s="14">
        <v>46251</v>
      </c>
      <c r="AA258" s="2"/>
      <c r="AB258" s="69" t="s">
        <v>2783</v>
      </c>
      <c r="AC258" s="5" t="s">
        <v>2</v>
      </c>
      <c r="AD258" s="2"/>
      <c r="AE258" s="6"/>
      <c r="AF258" s="23"/>
      <c r="AG258" s="6"/>
      <c r="AH258" s="5" t="s">
        <v>2</v>
      </c>
      <c r="AI258" s="5" t="s">
        <v>2562</v>
      </c>
      <c r="AJ258" s="5" t="s">
        <v>2</v>
      </c>
      <c r="AK258" s="21" t="s">
        <v>2</v>
      </c>
      <c r="AL258" s="72" t="s">
        <v>3894</v>
      </c>
      <c r="AM258" s="54" t="s">
        <v>4179</v>
      </c>
      <c r="AN258" s="34" t="s">
        <v>1189</v>
      </c>
    </row>
    <row r="259" spans="2:40" x14ac:dyDescent="0.3">
      <c r="B259" s="18" t="s">
        <v>1960</v>
      </c>
      <c r="C259" s="47" t="s">
        <v>49</v>
      </c>
      <c r="D259" s="15" t="s">
        <v>2562</v>
      </c>
      <c r="E259" s="68" t="s">
        <v>2</v>
      </c>
      <c r="F259" s="55" t="s">
        <v>2</v>
      </c>
      <c r="G259" s="40" t="s">
        <v>2</v>
      </c>
      <c r="H259" s="71" t="s">
        <v>3894</v>
      </c>
      <c r="I259" s="67" t="s">
        <v>1164</v>
      </c>
      <c r="J259" s="73" t="s">
        <v>270</v>
      </c>
      <c r="K259" s="4">
        <v>4937850</v>
      </c>
      <c r="L259" s="41">
        <v>102.331</v>
      </c>
      <c r="M259" s="4">
        <v>5116550</v>
      </c>
      <c r="N259" s="4">
        <v>5000000</v>
      </c>
      <c r="O259" s="4">
        <v>4940162</v>
      </c>
      <c r="P259" s="4">
        <v>0</v>
      </c>
      <c r="Q259" s="4">
        <v>2312</v>
      </c>
      <c r="R259" s="4">
        <v>0</v>
      </c>
      <c r="S259" s="4">
        <v>0</v>
      </c>
      <c r="T259" s="23">
        <v>7.49</v>
      </c>
      <c r="U259" s="23">
        <v>7.7949999999999999</v>
      </c>
      <c r="V259" s="5" t="s">
        <v>3895</v>
      </c>
      <c r="W259" s="4">
        <v>83222</v>
      </c>
      <c r="X259" s="4">
        <v>0</v>
      </c>
      <c r="Y259" s="14">
        <v>44845</v>
      </c>
      <c r="Z259" s="14">
        <v>46671</v>
      </c>
      <c r="AA259" s="2"/>
      <c r="AB259" s="69" t="s">
        <v>2783</v>
      </c>
      <c r="AC259" s="5" t="s">
        <v>2</v>
      </c>
      <c r="AD259" s="2"/>
      <c r="AE259" s="6"/>
      <c r="AF259" s="23"/>
      <c r="AG259" s="6"/>
      <c r="AH259" s="5" t="s">
        <v>2</v>
      </c>
      <c r="AI259" s="5" t="s">
        <v>2562</v>
      </c>
      <c r="AJ259" s="5" t="s">
        <v>2</v>
      </c>
      <c r="AK259" s="21" t="s">
        <v>2</v>
      </c>
      <c r="AL259" s="72" t="s">
        <v>3894</v>
      </c>
      <c r="AM259" s="54" t="s">
        <v>4179</v>
      </c>
      <c r="AN259" s="34" t="s">
        <v>828</v>
      </c>
    </row>
    <row r="260" spans="2:40" x14ac:dyDescent="0.3">
      <c r="B260" s="18" t="s">
        <v>3094</v>
      </c>
      <c r="C260" s="47" t="s">
        <v>4225</v>
      </c>
      <c r="D260" s="15" t="s">
        <v>843</v>
      </c>
      <c r="E260" s="68" t="s">
        <v>2</v>
      </c>
      <c r="F260" s="55" t="s">
        <v>2</v>
      </c>
      <c r="G260" s="40" t="s">
        <v>2745</v>
      </c>
      <c r="H260" s="71" t="s">
        <v>3894</v>
      </c>
      <c r="I260" s="67" t="s">
        <v>1164</v>
      </c>
      <c r="J260" s="73" t="s">
        <v>270</v>
      </c>
      <c r="K260" s="4">
        <v>3202230</v>
      </c>
      <c r="L260" s="41">
        <v>98.944000000000003</v>
      </c>
      <c r="M260" s="4">
        <v>2968320</v>
      </c>
      <c r="N260" s="4">
        <v>3000000</v>
      </c>
      <c r="O260" s="4">
        <v>3054584</v>
      </c>
      <c r="P260" s="4">
        <v>0</v>
      </c>
      <c r="Q260" s="4">
        <v>-30494</v>
      </c>
      <c r="R260" s="4">
        <v>0</v>
      </c>
      <c r="S260" s="4">
        <v>0</v>
      </c>
      <c r="T260" s="23">
        <v>4.95</v>
      </c>
      <c r="U260" s="23">
        <v>3.8340000000000001</v>
      </c>
      <c r="V260" s="5" t="s">
        <v>3898</v>
      </c>
      <c r="W260" s="4">
        <v>6600</v>
      </c>
      <c r="X260" s="4">
        <v>148500</v>
      </c>
      <c r="Y260" s="14">
        <v>43006</v>
      </c>
      <c r="Z260" s="14">
        <v>45641</v>
      </c>
      <c r="AA260" s="2"/>
      <c r="AB260" s="69" t="s">
        <v>3892</v>
      </c>
      <c r="AC260" s="5" t="s">
        <v>4178</v>
      </c>
      <c r="AD260" s="2"/>
      <c r="AE260" s="9">
        <v>45550</v>
      </c>
      <c r="AF260" s="23">
        <v>100</v>
      </c>
      <c r="AG260" s="9">
        <v>45550</v>
      </c>
      <c r="AH260" s="5" t="s">
        <v>2</v>
      </c>
      <c r="AI260" s="5" t="s">
        <v>843</v>
      </c>
      <c r="AJ260" s="5" t="s">
        <v>2</v>
      </c>
      <c r="AK260" s="21" t="s">
        <v>2</v>
      </c>
      <c r="AL260" s="72" t="s">
        <v>3894</v>
      </c>
      <c r="AM260" s="54" t="s">
        <v>4179</v>
      </c>
      <c r="AN260" s="34" t="s">
        <v>828</v>
      </c>
    </row>
    <row r="261" spans="2:40" x14ac:dyDescent="0.3">
      <c r="B261" s="18" t="s">
        <v>4226</v>
      </c>
      <c r="C261" s="47" t="s">
        <v>2790</v>
      </c>
      <c r="D261" s="15" t="s">
        <v>2320</v>
      </c>
      <c r="E261" s="68" t="s">
        <v>2</v>
      </c>
      <c r="F261" s="55" t="s">
        <v>2</v>
      </c>
      <c r="G261" s="40" t="s">
        <v>2745</v>
      </c>
      <c r="H261" s="71" t="s">
        <v>825</v>
      </c>
      <c r="I261" s="67" t="s">
        <v>1164</v>
      </c>
      <c r="J261" s="73" t="s">
        <v>270</v>
      </c>
      <c r="K261" s="4">
        <v>3967500</v>
      </c>
      <c r="L261" s="41">
        <v>88.608000000000004</v>
      </c>
      <c r="M261" s="4">
        <v>3544320</v>
      </c>
      <c r="N261" s="4">
        <v>4000000</v>
      </c>
      <c r="O261" s="4">
        <v>3544320</v>
      </c>
      <c r="P261" s="4">
        <v>-426714</v>
      </c>
      <c r="Q261" s="4">
        <v>3534</v>
      </c>
      <c r="R261" s="4">
        <v>0</v>
      </c>
      <c r="S261" s="4">
        <v>0</v>
      </c>
      <c r="T261" s="23">
        <v>4</v>
      </c>
      <c r="U261" s="23">
        <v>4.1280000000000001</v>
      </c>
      <c r="V261" s="5" t="s">
        <v>1916</v>
      </c>
      <c r="W261" s="4">
        <v>80000</v>
      </c>
      <c r="X261" s="4">
        <v>80000</v>
      </c>
      <c r="Y261" s="14">
        <v>44599</v>
      </c>
      <c r="Z261" s="14">
        <v>47300</v>
      </c>
      <c r="AA261" s="2"/>
      <c r="AB261" s="69" t="s">
        <v>3892</v>
      </c>
      <c r="AC261" s="5" t="s">
        <v>4178</v>
      </c>
      <c r="AD261" s="2"/>
      <c r="AE261" s="14">
        <v>45474</v>
      </c>
      <c r="AF261" s="23">
        <v>102</v>
      </c>
      <c r="AG261" s="6"/>
      <c r="AH261" s="5" t="s">
        <v>535</v>
      </c>
      <c r="AI261" s="5" t="s">
        <v>301</v>
      </c>
      <c r="AJ261" s="5" t="s">
        <v>824</v>
      </c>
      <c r="AK261" s="21" t="s">
        <v>2</v>
      </c>
      <c r="AL261" s="72" t="s">
        <v>3894</v>
      </c>
      <c r="AM261" s="54" t="s">
        <v>4179</v>
      </c>
      <c r="AN261" s="34" t="s">
        <v>302</v>
      </c>
    </row>
    <row r="262" spans="2:40" x14ac:dyDescent="0.3">
      <c r="B262" s="18" t="s">
        <v>844</v>
      </c>
      <c r="C262" s="47" t="s">
        <v>2791</v>
      </c>
      <c r="D262" s="15" t="s">
        <v>303</v>
      </c>
      <c r="E262" s="68" t="s">
        <v>2</v>
      </c>
      <c r="F262" s="55" t="s">
        <v>2</v>
      </c>
      <c r="G262" s="40" t="s">
        <v>2745</v>
      </c>
      <c r="H262" s="71" t="s">
        <v>3894</v>
      </c>
      <c r="I262" s="67" t="s">
        <v>3408</v>
      </c>
      <c r="J262" s="73" t="s">
        <v>270</v>
      </c>
      <c r="K262" s="4">
        <v>9972400</v>
      </c>
      <c r="L262" s="41">
        <v>96.637</v>
      </c>
      <c r="M262" s="4">
        <v>9663700</v>
      </c>
      <c r="N262" s="4">
        <v>10000000</v>
      </c>
      <c r="O262" s="4">
        <v>9986673</v>
      </c>
      <c r="P262" s="4">
        <v>0</v>
      </c>
      <c r="Q262" s="4">
        <v>3891</v>
      </c>
      <c r="R262" s="4">
        <v>0</v>
      </c>
      <c r="S262" s="4">
        <v>0</v>
      </c>
      <c r="T262" s="23">
        <v>3.75</v>
      </c>
      <c r="U262" s="23">
        <v>3.7949999999999999</v>
      </c>
      <c r="V262" s="5" t="s">
        <v>10</v>
      </c>
      <c r="W262" s="4">
        <v>125000</v>
      </c>
      <c r="X262" s="4">
        <v>375000</v>
      </c>
      <c r="Y262" s="14">
        <v>43517</v>
      </c>
      <c r="Z262" s="14">
        <v>46082</v>
      </c>
      <c r="AA262" s="2"/>
      <c r="AB262" s="69" t="s">
        <v>3892</v>
      </c>
      <c r="AC262" s="5" t="s">
        <v>7</v>
      </c>
      <c r="AD262" s="2"/>
      <c r="AE262" s="14">
        <v>46023</v>
      </c>
      <c r="AF262" s="23">
        <v>100</v>
      </c>
      <c r="AG262" s="10"/>
      <c r="AH262" s="5" t="s">
        <v>3445</v>
      </c>
      <c r="AI262" s="5" t="s">
        <v>50</v>
      </c>
      <c r="AJ262" s="5" t="s">
        <v>3095</v>
      </c>
      <c r="AK262" s="21" t="s">
        <v>2</v>
      </c>
      <c r="AL262" s="72" t="s">
        <v>3894</v>
      </c>
      <c r="AM262" s="54" t="s">
        <v>4179</v>
      </c>
      <c r="AN262" s="34" t="s">
        <v>1650</v>
      </c>
    </row>
    <row r="263" spans="2:40" x14ac:dyDescent="0.3">
      <c r="B263" s="18" t="s">
        <v>1961</v>
      </c>
      <c r="C263" s="47" t="s">
        <v>1672</v>
      </c>
      <c r="D263" s="15" t="s">
        <v>303</v>
      </c>
      <c r="E263" s="68" t="s">
        <v>2</v>
      </c>
      <c r="F263" s="55" t="s">
        <v>2</v>
      </c>
      <c r="G263" s="40" t="s">
        <v>2745</v>
      </c>
      <c r="H263" s="71" t="s">
        <v>3894</v>
      </c>
      <c r="I263" s="67" t="s">
        <v>3408</v>
      </c>
      <c r="J263" s="73" t="s">
        <v>270</v>
      </c>
      <c r="K263" s="4">
        <v>4997600</v>
      </c>
      <c r="L263" s="41">
        <v>93.489000000000004</v>
      </c>
      <c r="M263" s="4">
        <v>4674450</v>
      </c>
      <c r="N263" s="4">
        <v>5000000</v>
      </c>
      <c r="O263" s="4">
        <v>4998828</v>
      </c>
      <c r="P263" s="4">
        <v>0</v>
      </c>
      <c r="Q263" s="4">
        <v>469</v>
      </c>
      <c r="R263" s="4">
        <v>0</v>
      </c>
      <c r="S263" s="4">
        <v>0</v>
      </c>
      <c r="T263" s="23">
        <v>1.9</v>
      </c>
      <c r="U263" s="23">
        <v>1.91</v>
      </c>
      <c r="V263" s="5" t="s">
        <v>3898</v>
      </c>
      <c r="W263" s="4">
        <v>7917</v>
      </c>
      <c r="X263" s="4">
        <v>95000</v>
      </c>
      <c r="Y263" s="14">
        <v>43965</v>
      </c>
      <c r="Z263" s="14">
        <v>45809</v>
      </c>
      <c r="AA263" s="2"/>
      <c r="AB263" s="69" t="s">
        <v>3892</v>
      </c>
      <c r="AC263" s="5" t="s">
        <v>4178</v>
      </c>
      <c r="AD263" s="2"/>
      <c r="AE263" s="9">
        <v>45778</v>
      </c>
      <c r="AF263" s="23">
        <v>100</v>
      </c>
      <c r="AG263" s="6"/>
      <c r="AH263" s="5" t="s">
        <v>3445</v>
      </c>
      <c r="AI263" s="5" t="s">
        <v>50</v>
      </c>
      <c r="AJ263" s="5" t="s">
        <v>3095</v>
      </c>
      <c r="AK263" s="21" t="s">
        <v>2</v>
      </c>
      <c r="AL263" s="72" t="s">
        <v>3894</v>
      </c>
      <c r="AM263" s="54" t="s">
        <v>4179</v>
      </c>
      <c r="AN263" s="34" t="s">
        <v>1650</v>
      </c>
    </row>
    <row r="264" spans="2:40" x14ac:dyDescent="0.3">
      <c r="B264" s="18" t="s">
        <v>3096</v>
      </c>
      <c r="C264" s="47" t="s">
        <v>1673</v>
      </c>
      <c r="D264" s="15" t="s">
        <v>304</v>
      </c>
      <c r="E264" s="68" t="s">
        <v>2</v>
      </c>
      <c r="F264" s="55" t="s">
        <v>2</v>
      </c>
      <c r="G264" s="40" t="s">
        <v>2745</v>
      </c>
      <c r="H264" s="71" t="s">
        <v>2745</v>
      </c>
      <c r="I264" s="67" t="s">
        <v>287</v>
      </c>
      <c r="J264" s="73" t="s">
        <v>270</v>
      </c>
      <c r="K264" s="4">
        <v>5000000</v>
      </c>
      <c r="L264" s="41">
        <v>98.286000000000001</v>
      </c>
      <c r="M264" s="4">
        <v>4914300</v>
      </c>
      <c r="N264" s="4">
        <v>5000000</v>
      </c>
      <c r="O264" s="4">
        <v>5000000</v>
      </c>
      <c r="P264" s="4">
        <v>0</v>
      </c>
      <c r="Q264" s="4">
        <v>0</v>
      </c>
      <c r="R264" s="4">
        <v>0</v>
      </c>
      <c r="S264" s="4">
        <v>0</v>
      </c>
      <c r="T264" s="23">
        <v>3.7959999999999998</v>
      </c>
      <c r="U264" s="23">
        <v>3.7959999999999998</v>
      </c>
      <c r="V264" s="5" t="s">
        <v>10</v>
      </c>
      <c r="W264" s="4">
        <v>52722</v>
      </c>
      <c r="X264" s="4">
        <v>189800</v>
      </c>
      <c r="Y264" s="14">
        <v>43361</v>
      </c>
      <c r="Z264" s="14">
        <v>45921</v>
      </c>
      <c r="AA264" s="2"/>
      <c r="AB264" s="69" t="s">
        <v>3892</v>
      </c>
      <c r="AC264" s="5" t="s">
        <v>4178</v>
      </c>
      <c r="AD264" s="2"/>
      <c r="AE264" s="9">
        <v>45859</v>
      </c>
      <c r="AF264" s="23">
        <v>100</v>
      </c>
      <c r="AG264" s="6"/>
      <c r="AH264" s="5" t="s">
        <v>2321</v>
      </c>
      <c r="AI264" s="5" t="s">
        <v>304</v>
      </c>
      <c r="AJ264" s="5" t="s">
        <v>2</v>
      </c>
      <c r="AK264" s="21" t="s">
        <v>2</v>
      </c>
      <c r="AL264" s="72" t="s">
        <v>3894</v>
      </c>
      <c r="AM264" s="54" t="s">
        <v>4179</v>
      </c>
      <c r="AN264" s="34" t="s">
        <v>819</v>
      </c>
    </row>
    <row r="265" spans="2:40" x14ac:dyDescent="0.3">
      <c r="B265" s="18" t="s">
        <v>51</v>
      </c>
      <c r="C265" s="47" t="s">
        <v>3929</v>
      </c>
      <c r="D265" s="15" t="s">
        <v>536</v>
      </c>
      <c r="E265" s="68" t="s">
        <v>2</v>
      </c>
      <c r="F265" s="55" t="s">
        <v>2</v>
      </c>
      <c r="G265" s="40" t="s">
        <v>2745</v>
      </c>
      <c r="H265" s="71" t="s">
        <v>2745</v>
      </c>
      <c r="I265" s="67" t="s">
        <v>287</v>
      </c>
      <c r="J265" s="73" t="s">
        <v>270</v>
      </c>
      <c r="K265" s="4">
        <v>6983956</v>
      </c>
      <c r="L265" s="41">
        <v>95.524000000000001</v>
      </c>
      <c r="M265" s="4">
        <v>6686680</v>
      </c>
      <c r="N265" s="4">
        <v>7000000</v>
      </c>
      <c r="O265" s="4">
        <v>6990333</v>
      </c>
      <c r="P265" s="4">
        <v>0</v>
      </c>
      <c r="Q265" s="4">
        <v>2603</v>
      </c>
      <c r="R265" s="4">
        <v>0</v>
      </c>
      <c r="S265" s="4">
        <v>0</v>
      </c>
      <c r="T265" s="23">
        <v>3.2</v>
      </c>
      <c r="U265" s="23">
        <v>3.2429999999999999</v>
      </c>
      <c r="V265" s="5" t="s">
        <v>3898</v>
      </c>
      <c r="W265" s="4">
        <v>9956</v>
      </c>
      <c r="X265" s="4">
        <v>224000</v>
      </c>
      <c r="Y265" s="14">
        <v>44029</v>
      </c>
      <c r="Z265" s="14">
        <v>46188</v>
      </c>
      <c r="AA265" s="2"/>
      <c r="AB265" s="69" t="s">
        <v>3892</v>
      </c>
      <c r="AC265" s="5" t="s">
        <v>4178</v>
      </c>
      <c r="AD265" s="2"/>
      <c r="AE265" s="9">
        <v>46127</v>
      </c>
      <c r="AF265" s="23">
        <v>100</v>
      </c>
      <c r="AG265" s="6"/>
      <c r="AH265" s="5" t="s">
        <v>1962</v>
      </c>
      <c r="AI265" s="5" t="s">
        <v>536</v>
      </c>
      <c r="AJ265" s="5" t="s">
        <v>2</v>
      </c>
      <c r="AK265" s="21" t="s">
        <v>2</v>
      </c>
      <c r="AL265" s="72" t="s">
        <v>3894</v>
      </c>
      <c r="AM265" s="54" t="s">
        <v>4179</v>
      </c>
      <c r="AN265" s="34" t="s">
        <v>819</v>
      </c>
    </row>
    <row r="266" spans="2:40" x14ac:dyDescent="0.3">
      <c r="B266" s="18" t="s">
        <v>1963</v>
      </c>
      <c r="C266" s="47" t="s">
        <v>1674</v>
      </c>
      <c r="D266" s="15" t="s">
        <v>536</v>
      </c>
      <c r="E266" s="68" t="s">
        <v>2</v>
      </c>
      <c r="F266" s="55" t="s">
        <v>2</v>
      </c>
      <c r="G266" s="40" t="s">
        <v>2745</v>
      </c>
      <c r="H266" s="71" t="s">
        <v>2745</v>
      </c>
      <c r="I266" s="67" t="s">
        <v>287</v>
      </c>
      <c r="J266" s="73" t="s">
        <v>270</v>
      </c>
      <c r="K266" s="4">
        <v>4987184</v>
      </c>
      <c r="L266" s="41">
        <v>99.768000000000001</v>
      </c>
      <c r="M266" s="4">
        <v>4988400</v>
      </c>
      <c r="N266" s="4">
        <v>5000000</v>
      </c>
      <c r="O266" s="4">
        <v>4999377</v>
      </c>
      <c r="P266" s="4">
        <v>0</v>
      </c>
      <c r="Q266" s="4">
        <v>5042</v>
      </c>
      <c r="R266" s="4">
        <v>0</v>
      </c>
      <c r="S266" s="4">
        <v>0</v>
      </c>
      <c r="T266" s="23">
        <v>2.75</v>
      </c>
      <c r="U266" s="23">
        <v>2.8530000000000002</v>
      </c>
      <c r="V266" s="5" t="s">
        <v>268</v>
      </c>
      <c r="W266" s="4">
        <v>51944</v>
      </c>
      <c r="X266" s="4">
        <v>137500</v>
      </c>
      <c r="Y266" s="14">
        <v>44029</v>
      </c>
      <c r="Z266" s="14">
        <v>44972</v>
      </c>
      <c r="AA266" s="2"/>
      <c r="AB266" s="69" t="s">
        <v>3892</v>
      </c>
      <c r="AC266" s="5" t="s">
        <v>4178</v>
      </c>
      <c r="AD266" s="2"/>
      <c r="AE266" s="14">
        <v>44941</v>
      </c>
      <c r="AF266" s="23">
        <v>100</v>
      </c>
      <c r="AG266" s="10"/>
      <c r="AH266" s="5" t="s">
        <v>1962</v>
      </c>
      <c r="AI266" s="5" t="s">
        <v>536</v>
      </c>
      <c r="AJ266" s="5" t="s">
        <v>2</v>
      </c>
      <c r="AK266" s="21" t="s">
        <v>2</v>
      </c>
      <c r="AL266" s="72" t="s">
        <v>3894</v>
      </c>
      <c r="AM266" s="54" t="s">
        <v>4179</v>
      </c>
      <c r="AN266" s="34" t="s">
        <v>819</v>
      </c>
    </row>
    <row r="267" spans="2:40" x14ac:dyDescent="0.3">
      <c r="B267" s="18" t="s">
        <v>3097</v>
      </c>
      <c r="C267" s="47" t="s">
        <v>3930</v>
      </c>
      <c r="D267" s="15" t="s">
        <v>845</v>
      </c>
      <c r="E267" s="68" t="s">
        <v>2</v>
      </c>
      <c r="F267" s="55" t="s">
        <v>2</v>
      </c>
      <c r="G267" s="40" t="s">
        <v>2745</v>
      </c>
      <c r="H267" s="71" t="s">
        <v>3894</v>
      </c>
      <c r="I267" s="67" t="s">
        <v>1164</v>
      </c>
      <c r="J267" s="73" t="s">
        <v>270</v>
      </c>
      <c r="K267" s="4">
        <v>2076620</v>
      </c>
      <c r="L267" s="41">
        <v>91.341999999999999</v>
      </c>
      <c r="M267" s="4">
        <v>1826840</v>
      </c>
      <c r="N267" s="4">
        <v>2000000</v>
      </c>
      <c r="O267" s="4">
        <v>2051735</v>
      </c>
      <c r="P267" s="4">
        <v>0</v>
      </c>
      <c r="Q267" s="4">
        <v>-9911</v>
      </c>
      <c r="R267" s="4">
        <v>0</v>
      </c>
      <c r="S267" s="4">
        <v>0</v>
      </c>
      <c r="T267" s="23">
        <v>3.5</v>
      </c>
      <c r="U267" s="23">
        <v>2.9180000000000001</v>
      </c>
      <c r="V267" s="5" t="s">
        <v>1916</v>
      </c>
      <c r="W267" s="4">
        <v>32278</v>
      </c>
      <c r="X267" s="4">
        <v>70000</v>
      </c>
      <c r="Y267" s="14">
        <v>43985</v>
      </c>
      <c r="Z267" s="14">
        <v>46767</v>
      </c>
      <c r="AA267" s="2"/>
      <c r="AB267" s="69" t="s">
        <v>3892</v>
      </c>
      <c r="AC267" s="5" t="s">
        <v>4178</v>
      </c>
      <c r="AD267" s="2"/>
      <c r="AE267" s="14">
        <v>46675</v>
      </c>
      <c r="AF267" s="23">
        <v>100</v>
      </c>
      <c r="AG267" s="9">
        <v>46675</v>
      </c>
      <c r="AH267" s="5" t="s">
        <v>2</v>
      </c>
      <c r="AI267" s="5" t="s">
        <v>305</v>
      </c>
      <c r="AJ267" s="5" t="s">
        <v>537</v>
      </c>
      <c r="AK267" s="21" t="s">
        <v>2</v>
      </c>
      <c r="AL267" s="72" t="s">
        <v>3894</v>
      </c>
      <c r="AM267" s="54" t="s">
        <v>4179</v>
      </c>
      <c r="AN267" s="34" t="s">
        <v>828</v>
      </c>
    </row>
    <row r="268" spans="2:40" x14ac:dyDescent="0.3">
      <c r="B268" s="18" t="s">
        <v>4227</v>
      </c>
      <c r="C268" s="47" t="s">
        <v>3681</v>
      </c>
      <c r="D268" s="15" t="s">
        <v>2322</v>
      </c>
      <c r="E268" s="68" t="s">
        <v>2</v>
      </c>
      <c r="F268" s="55" t="s">
        <v>2</v>
      </c>
      <c r="G268" s="40" t="s">
        <v>2745</v>
      </c>
      <c r="H268" s="71" t="s">
        <v>3894</v>
      </c>
      <c r="I268" s="67" t="s">
        <v>1164</v>
      </c>
      <c r="J268" s="73" t="s">
        <v>270</v>
      </c>
      <c r="K268" s="4">
        <v>3365973</v>
      </c>
      <c r="L268" s="41">
        <v>93.438000000000002</v>
      </c>
      <c r="M268" s="4">
        <v>2976935</v>
      </c>
      <c r="N268" s="4">
        <v>3186000</v>
      </c>
      <c r="O268" s="4">
        <v>3315968</v>
      </c>
      <c r="P268" s="4">
        <v>0</v>
      </c>
      <c r="Q268" s="4">
        <v>-21402</v>
      </c>
      <c r="R268" s="4">
        <v>0</v>
      </c>
      <c r="S268" s="4">
        <v>0</v>
      </c>
      <c r="T268" s="23">
        <v>4.1100000000000003</v>
      </c>
      <c r="U268" s="23">
        <v>3.2879999999999998</v>
      </c>
      <c r="V268" s="5" t="s">
        <v>10</v>
      </c>
      <c r="W268" s="4">
        <v>38556</v>
      </c>
      <c r="X268" s="4">
        <v>130945</v>
      </c>
      <c r="Y268" s="14">
        <v>44054</v>
      </c>
      <c r="Z268" s="14">
        <v>47011</v>
      </c>
      <c r="AA268" s="2"/>
      <c r="AB268" s="69" t="s">
        <v>3892</v>
      </c>
      <c r="AC268" s="5" t="s">
        <v>4178</v>
      </c>
      <c r="AD268" s="2"/>
      <c r="AE268" s="14">
        <v>46919</v>
      </c>
      <c r="AF268" s="23">
        <v>100</v>
      </c>
      <c r="AG268" s="9">
        <v>46919</v>
      </c>
      <c r="AH268" s="5" t="s">
        <v>1434</v>
      </c>
      <c r="AI268" s="5" t="s">
        <v>2322</v>
      </c>
      <c r="AJ268" s="5" t="s">
        <v>2</v>
      </c>
      <c r="AK268" s="21" t="s">
        <v>2</v>
      </c>
      <c r="AL268" s="72" t="s">
        <v>3894</v>
      </c>
      <c r="AM268" s="54" t="s">
        <v>4179</v>
      </c>
      <c r="AN268" s="34" t="s">
        <v>828</v>
      </c>
    </row>
    <row r="269" spans="2:40" x14ac:dyDescent="0.3">
      <c r="B269" s="18" t="s">
        <v>846</v>
      </c>
      <c r="C269" s="47" t="s">
        <v>4228</v>
      </c>
      <c r="D269" s="15" t="s">
        <v>4229</v>
      </c>
      <c r="E269" s="68" t="s">
        <v>2</v>
      </c>
      <c r="F269" s="55" t="s">
        <v>2</v>
      </c>
      <c r="G269" s="40" t="s">
        <v>2745</v>
      </c>
      <c r="H269" s="71" t="s">
        <v>3894</v>
      </c>
      <c r="I269" s="67" t="s">
        <v>1164</v>
      </c>
      <c r="J269" s="73" t="s">
        <v>270</v>
      </c>
      <c r="K269" s="4">
        <v>997430</v>
      </c>
      <c r="L269" s="41">
        <v>84.659000000000006</v>
      </c>
      <c r="M269" s="4">
        <v>846590</v>
      </c>
      <c r="N269" s="4">
        <v>1000000</v>
      </c>
      <c r="O269" s="4">
        <v>998109</v>
      </c>
      <c r="P269" s="4">
        <v>0</v>
      </c>
      <c r="Q269" s="4">
        <v>347</v>
      </c>
      <c r="R269" s="4">
        <v>0</v>
      </c>
      <c r="S269" s="4">
        <v>0</v>
      </c>
      <c r="T269" s="23">
        <v>1.95</v>
      </c>
      <c r="U269" s="23">
        <v>1.9890000000000001</v>
      </c>
      <c r="V269" s="5" t="s">
        <v>268</v>
      </c>
      <c r="W269" s="4">
        <v>7367</v>
      </c>
      <c r="X269" s="4">
        <v>19500</v>
      </c>
      <c r="Y269" s="14">
        <v>44200</v>
      </c>
      <c r="Z269" s="14">
        <v>46798</v>
      </c>
      <c r="AA269" s="2"/>
      <c r="AB269" s="69" t="s">
        <v>3892</v>
      </c>
      <c r="AC269" s="5" t="s">
        <v>4178</v>
      </c>
      <c r="AD269" s="2"/>
      <c r="AE269" s="14">
        <v>46736</v>
      </c>
      <c r="AF269" s="23">
        <v>100</v>
      </c>
      <c r="AG269" s="6"/>
      <c r="AH269" s="5" t="s">
        <v>1434</v>
      </c>
      <c r="AI269" s="5" t="s">
        <v>2322</v>
      </c>
      <c r="AJ269" s="5" t="s">
        <v>824</v>
      </c>
      <c r="AK269" s="21" t="s">
        <v>2</v>
      </c>
      <c r="AL269" s="72" t="s">
        <v>3894</v>
      </c>
      <c r="AM269" s="54" t="s">
        <v>4179</v>
      </c>
      <c r="AN269" s="34" t="s">
        <v>828</v>
      </c>
    </row>
    <row r="270" spans="2:40" x14ac:dyDescent="0.3">
      <c r="B270" s="18" t="s">
        <v>1964</v>
      </c>
      <c r="C270" s="47" t="s">
        <v>3098</v>
      </c>
      <c r="D270" s="15" t="s">
        <v>4229</v>
      </c>
      <c r="E270" s="68" t="s">
        <v>2</v>
      </c>
      <c r="F270" s="55" t="s">
        <v>2</v>
      </c>
      <c r="G270" s="40" t="s">
        <v>2745</v>
      </c>
      <c r="H270" s="71" t="s">
        <v>3894</v>
      </c>
      <c r="I270" s="67" t="s">
        <v>1164</v>
      </c>
      <c r="J270" s="73" t="s">
        <v>270</v>
      </c>
      <c r="K270" s="4">
        <v>4997550</v>
      </c>
      <c r="L270" s="41">
        <v>91.195999999999998</v>
      </c>
      <c r="M270" s="4">
        <v>4559800</v>
      </c>
      <c r="N270" s="4">
        <v>5000000</v>
      </c>
      <c r="O270" s="4">
        <v>4997775</v>
      </c>
      <c r="P270" s="4">
        <v>0</v>
      </c>
      <c r="Q270" s="4">
        <v>225</v>
      </c>
      <c r="R270" s="4">
        <v>0</v>
      </c>
      <c r="S270" s="4">
        <v>0</v>
      </c>
      <c r="T270" s="23">
        <v>4</v>
      </c>
      <c r="U270" s="23">
        <v>4.008</v>
      </c>
      <c r="V270" s="5" t="s">
        <v>3895</v>
      </c>
      <c r="W270" s="4">
        <v>42222</v>
      </c>
      <c r="X270" s="4">
        <v>100556</v>
      </c>
      <c r="Y270" s="14">
        <v>44651</v>
      </c>
      <c r="Z270" s="14">
        <v>47223</v>
      </c>
      <c r="AA270" s="2"/>
      <c r="AB270" s="69" t="s">
        <v>3892</v>
      </c>
      <c r="AC270" s="5" t="s">
        <v>4178</v>
      </c>
      <c r="AD270" s="2"/>
      <c r="AE270" s="14">
        <v>47164</v>
      </c>
      <c r="AF270" s="23">
        <v>100</v>
      </c>
      <c r="AG270" s="6"/>
      <c r="AH270" s="5" t="s">
        <v>1434</v>
      </c>
      <c r="AI270" s="5" t="s">
        <v>2322</v>
      </c>
      <c r="AJ270" s="5" t="s">
        <v>824</v>
      </c>
      <c r="AK270" s="21" t="s">
        <v>2</v>
      </c>
      <c r="AL270" s="72" t="s">
        <v>3894</v>
      </c>
      <c r="AM270" s="54" t="s">
        <v>4179</v>
      </c>
      <c r="AN270" s="34" t="s">
        <v>828</v>
      </c>
    </row>
    <row r="271" spans="2:40" x14ac:dyDescent="0.3">
      <c r="B271" s="18" t="s">
        <v>3099</v>
      </c>
      <c r="C271" s="47" t="s">
        <v>3100</v>
      </c>
      <c r="D271" s="15" t="s">
        <v>2323</v>
      </c>
      <c r="E271" s="68" t="s">
        <v>2</v>
      </c>
      <c r="F271" s="55" t="s">
        <v>2</v>
      </c>
      <c r="G271" s="40" t="s">
        <v>2745</v>
      </c>
      <c r="H271" s="71" t="s">
        <v>3894</v>
      </c>
      <c r="I271" s="67" t="s">
        <v>3408</v>
      </c>
      <c r="J271" s="73" t="s">
        <v>270</v>
      </c>
      <c r="K271" s="4">
        <v>5000000</v>
      </c>
      <c r="L271" s="41">
        <v>93.745999999999995</v>
      </c>
      <c r="M271" s="4">
        <v>4687300</v>
      </c>
      <c r="N271" s="4">
        <v>5000000</v>
      </c>
      <c r="O271" s="4">
        <v>5000000</v>
      </c>
      <c r="P271" s="4">
        <v>0</v>
      </c>
      <c r="Q271" s="4">
        <v>0</v>
      </c>
      <c r="R271" s="4">
        <v>0</v>
      </c>
      <c r="S271" s="4">
        <v>0</v>
      </c>
      <c r="T271" s="23">
        <v>4.8659999999999997</v>
      </c>
      <c r="U271" s="23">
        <v>4.8659999999999997</v>
      </c>
      <c r="V271" s="5" t="s">
        <v>268</v>
      </c>
      <c r="W271" s="4">
        <v>98672</v>
      </c>
      <c r="X271" s="4">
        <v>0</v>
      </c>
      <c r="Y271" s="14">
        <v>44775</v>
      </c>
      <c r="Z271" s="14">
        <v>48431</v>
      </c>
      <c r="AA271" s="2"/>
      <c r="AB271" s="69" t="s">
        <v>3892</v>
      </c>
      <c r="AC271" s="5" t="s">
        <v>4178</v>
      </c>
      <c r="AD271" s="2"/>
      <c r="AE271" s="14">
        <v>48339</v>
      </c>
      <c r="AF271" s="23">
        <v>100</v>
      </c>
      <c r="AG271" s="6"/>
      <c r="AH271" s="5" t="s">
        <v>4230</v>
      </c>
      <c r="AI271" s="5" t="s">
        <v>306</v>
      </c>
      <c r="AJ271" s="5" t="s">
        <v>824</v>
      </c>
      <c r="AK271" s="21" t="s">
        <v>2</v>
      </c>
      <c r="AL271" s="72" t="s">
        <v>3894</v>
      </c>
      <c r="AM271" s="54" t="s">
        <v>4179</v>
      </c>
      <c r="AN271" s="34" t="s">
        <v>1650</v>
      </c>
    </row>
    <row r="272" spans="2:40" x14ac:dyDescent="0.3">
      <c r="B272" s="18" t="s">
        <v>4231</v>
      </c>
      <c r="C272" s="47" t="s">
        <v>1196</v>
      </c>
      <c r="D272" s="15" t="s">
        <v>2324</v>
      </c>
      <c r="E272" s="68" t="s">
        <v>2</v>
      </c>
      <c r="F272" s="55" t="s">
        <v>2</v>
      </c>
      <c r="G272" s="40" t="s">
        <v>2745</v>
      </c>
      <c r="H272" s="71" t="s">
        <v>3894</v>
      </c>
      <c r="I272" s="67" t="s">
        <v>1164</v>
      </c>
      <c r="J272" s="73" t="s">
        <v>270</v>
      </c>
      <c r="K272" s="4">
        <v>3971606</v>
      </c>
      <c r="L272" s="41">
        <v>75.975999999999999</v>
      </c>
      <c r="M272" s="4">
        <v>3703830</v>
      </c>
      <c r="N272" s="4">
        <v>4875000</v>
      </c>
      <c r="O272" s="4">
        <v>4007732</v>
      </c>
      <c r="P272" s="4">
        <v>0</v>
      </c>
      <c r="Q272" s="4">
        <v>36127</v>
      </c>
      <c r="R272" s="4">
        <v>0</v>
      </c>
      <c r="S272" s="4">
        <v>0</v>
      </c>
      <c r="T272" s="23">
        <v>2.375</v>
      </c>
      <c r="U272" s="23">
        <v>5.0510000000000002</v>
      </c>
      <c r="V272" s="5" t="s">
        <v>10</v>
      </c>
      <c r="W272" s="4">
        <v>34091</v>
      </c>
      <c r="X272" s="4">
        <v>57891</v>
      </c>
      <c r="Y272" s="14">
        <v>44769</v>
      </c>
      <c r="Z272" s="14">
        <v>47922</v>
      </c>
      <c r="AA272" s="2"/>
      <c r="AB272" s="69" t="s">
        <v>3892</v>
      </c>
      <c r="AC272" s="5" t="s">
        <v>4178</v>
      </c>
      <c r="AD272" s="2"/>
      <c r="AE272" s="14">
        <v>47832</v>
      </c>
      <c r="AF272" s="23">
        <v>100</v>
      </c>
      <c r="AG272" s="10"/>
      <c r="AH272" s="5" t="s">
        <v>4232</v>
      </c>
      <c r="AI272" s="5" t="s">
        <v>2324</v>
      </c>
      <c r="AJ272" s="5" t="s">
        <v>2</v>
      </c>
      <c r="AK272" s="21" t="s">
        <v>2</v>
      </c>
      <c r="AL272" s="72" t="s">
        <v>3894</v>
      </c>
      <c r="AM272" s="54" t="s">
        <v>4179</v>
      </c>
      <c r="AN272" s="34" t="s">
        <v>828</v>
      </c>
    </row>
    <row r="273" spans="2:40" x14ac:dyDescent="0.3">
      <c r="B273" s="18" t="s">
        <v>1197</v>
      </c>
      <c r="C273" s="47" t="s">
        <v>52</v>
      </c>
      <c r="D273" s="15" t="s">
        <v>1198</v>
      </c>
      <c r="E273" s="68" t="s">
        <v>2</v>
      </c>
      <c r="F273" s="55" t="s">
        <v>2</v>
      </c>
      <c r="G273" s="40" t="s">
        <v>2745</v>
      </c>
      <c r="H273" s="71" t="s">
        <v>825</v>
      </c>
      <c r="I273" s="67" t="s">
        <v>8</v>
      </c>
      <c r="J273" s="73" t="s">
        <v>270</v>
      </c>
      <c r="K273" s="4">
        <v>1930000</v>
      </c>
      <c r="L273" s="41">
        <v>96.177999999999997</v>
      </c>
      <c r="M273" s="4">
        <v>1923560</v>
      </c>
      <c r="N273" s="4">
        <v>2000000</v>
      </c>
      <c r="O273" s="4">
        <v>1923560</v>
      </c>
      <c r="P273" s="4">
        <v>-45278</v>
      </c>
      <c r="Q273" s="4">
        <v>16211</v>
      </c>
      <c r="R273" s="4">
        <v>0</v>
      </c>
      <c r="S273" s="4">
        <v>0</v>
      </c>
      <c r="T273" s="23">
        <v>4.3499999999999996</v>
      </c>
      <c r="U273" s="23">
        <v>5.2750000000000004</v>
      </c>
      <c r="V273" s="5" t="s">
        <v>3895</v>
      </c>
      <c r="W273" s="4">
        <v>18367</v>
      </c>
      <c r="X273" s="4">
        <v>87000</v>
      </c>
      <c r="Y273" s="14">
        <v>44019</v>
      </c>
      <c r="Z273" s="14">
        <v>45580</v>
      </c>
      <c r="AA273" s="2"/>
      <c r="AB273" s="69" t="s">
        <v>3892</v>
      </c>
      <c r="AC273" s="5" t="s">
        <v>4178</v>
      </c>
      <c r="AD273" s="2"/>
      <c r="AE273" s="14">
        <v>45488</v>
      </c>
      <c r="AF273" s="23">
        <v>100</v>
      </c>
      <c r="AG273" s="6"/>
      <c r="AH273" s="5" t="s">
        <v>2325</v>
      </c>
      <c r="AI273" s="5" t="s">
        <v>538</v>
      </c>
      <c r="AJ273" s="5" t="s">
        <v>4233</v>
      </c>
      <c r="AK273" s="21" t="s">
        <v>2</v>
      </c>
      <c r="AL273" s="72" t="s">
        <v>3894</v>
      </c>
      <c r="AM273" s="54" t="s">
        <v>4179</v>
      </c>
      <c r="AN273" s="34" t="s">
        <v>525</v>
      </c>
    </row>
    <row r="274" spans="2:40" x14ac:dyDescent="0.3">
      <c r="B274" s="18" t="s">
        <v>2326</v>
      </c>
      <c r="C274" s="47" t="s">
        <v>3682</v>
      </c>
      <c r="D274" s="15" t="s">
        <v>3683</v>
      </c>
      <c r="E274" s="68" t="s">
        <v>2</v>
      </c>
      <c r="F274" s="55" t="s">
        <v>2</v>
      </c>
      <c r="G274" s="40" t="s">
        <v>2745</v>
      </c>
      <c r="H274" s="71" t="s">
        <v>825</v>
      </c>
      <c r="I274" s="67" t="s">
        <v>8</v>
      </c>
      <c r="J274" s="73" t="s">
        <v>270</v>
      </c>
      <c r="K274" s="4">
        <v>1000000</v>
      </c>
      <c r="L274" s="41">
        <v>95.668000000000006</v>
      </c>
      <c r="M274" s="4">
        <v>956680</v>
      </c>
      <c r="N274" s="4">
        <v>1000000</v>
      </c>
      <c r="O274" s="4">
        <v>956680</v>
      </c>
      <c r="P274" s="4">
        <v>-43320</v>
      </c>
      <c r="Q274" s="4">
        <v>0</v>
      </c>
      <c r="R274" s="4">
        <v>0</v>
      </c>
      <c r="S274" s="4">
        <v>0</v>
      </c>
      <c r="T274" s="23">
        <v>4.125</v>
      </c>
      <c r="U274" s="23">
        <v>4.1210000000000004</v>
      </c>
      <c r="V274" s="5" t="s">
        <v>10</v>
      </c>
      <c r="W274" s="4">
        <v>13750</v>
      </c>
      <c r="X274" s="4">
        <v>41250</v>
      </c>
      <c r="Y274" s="14">
        <v>43872</v>
      </c>
      <c r="Z274" s="14">
        <v>45717</v>
      </c>
      <c r="AA274" s="2"/>
      <c r="AB274" s="69" t="s">
        <v>3892</v>
      </c>
      <c r="AC274" s="5" t="s">
        <v>4178</v>
      </c>
      <c r="AD274" s="2"/>
      <c r="AE274" s="9">
        <v>45689</v>
      </c>
      <c r="AF274" s="23">
        <v>100</v>
      </c>
      <c r="AG274" s="6"/>
      <c r="AH274" s="5" t="s">
        <v>2325</v>
      </c>
      <c r="AI274" s="5" t="s">
        <v>538</v>
      </c>
      <c r="AJ274" s="5" t="s">
        <v>824</v>
      </c>
      <c r="AK274" s="21" t="s">
        <v>2</v>
      </c>
      <c r="AL274" s="72" t="s">
        <v>3894</v>
      </c>
      <c r="AM274" s="54" t="s">
        <v>4179</v>
      </c>
      <c r="AN274" s="34" t="s">
        <v>525</v>
      </c>
    </row>
    <row r="275" spans="2:40" x14ac:dyDescent="0.3">
      <c r="B275" s="18" t="s">
        <v>3446</v>
      </c>
      <c r="C275" s="47" t="s">
        <v>1199</v>
      </c>
      <c r="D275" s="15" t="s">
        <v>53</v>
      </c>
      <c r="E275" s="68" t="s">
        <v>2</v>
      </c>
      <c r="F275" s="55" t="s">
        <v>2</v>
      </c>
      <c r="G275" s="40" t="s">
        <v>2745</v>
      </c>
      <c r="H275" s="71" t="s">
        <v>3894</v>
      </c>
      <c r="I275" s="67" t="s">
        <v>8</v>
      </c>
      <c r="J275" s="73" t="s">
        <v>270</v>
      </c>
      <c r="K275" s="4">
        <v>3988880</v>
      </c>
      <c r="L275" s="41">
        <v>82.35</v>
      </c>
      <c r="M275" s="4">
        <v>3294000</v>
      </c>
      <c r="N275" s="4">
        <v>4000000</v>
      </c>
      <c r="O275" s="4">
        <v>3990491</v>
      </c>
      <c r="P275" s="4">
        <v>0</v>
      </c>
      <c r="Q275" s="4">
        <v>996</v>
      </c>
      <c r="R275" s="4">
        <v>0</v>
      </c>
      <c r="S275" s="4">
        <v>0</v>
      </c>
      <c r="T275" s="23">
        <v>2.75</v>
      </c>
      <c r="U275" s="23">
        <v>2.782</v>
      </c>
      <c r="V275" s="5" t="s">
        <v>3409</v>
      </c>
      <c r="W275" s="4">
        <v>14361</v>
      </c>
      <c r="X275" s="4">
        <v>110000</v>
      </c>
      <c r="Y275" s="14">
        <v>44323</v>
      </c>
      <c r="Z275" s="14">
        <v>47982</v>
      </c>
      <c r="AA275" s="2"/>
      <c r="AB275" s="69" t="s">
        <v>3892</v>
      </c>
      <c r="AC275" s="5" t="s">
        <v>4178</v>
      </c>
      <c r="AD275" s="2"/>
      <c r="AE275" s="14">
        <v>47893</v>
      </c>
      <c r="AF275" s="23">
        <v>100</v>
      </c>
      <c r="AG275" s="10"/>
      <c r="AH275" s="5" t="s">
        <v>54</v>
      </c>
      <c r="AI275" s="5" t="s">
        <v>3931</v>
      </c>
      <c r="AJ275" s="5" t="s">
        <v>1965</v>
      </c>
      <c r="AK275" s="21" t="s">
        <v>2</v>
      </c>
      <c r="AL275" s="72" t="s">
        <v>3894</v>
      </c>
      <c r="AM275" s="54" t="s">
        <v>4179</v>
      </c>
      <c r="AN275" s="34" t="s">
        <v>1189</v>
      </c>
    </row>
    <row r="276" spans="2:40" x14ac:dyDescent="0.3">
      <c r="B276" s="18" t="s">
        <v>847</v>
      </c>
      <c r="C276" s="47" t="s">
        <v>1435</v>
      </c>
      <c r="D276" s="15" t="s">
        <v>1966</v>
      </c>
      <c r="E276" s="68" t="s">
        <v>2</v>
      </c>
      <c r="F276" s="55" t="s">
        <v>2</v>
      </c>
      <c r="G276" s="40" t="s">
        <v>2745</v>
      </c>
      <c r="H276" s="71" t="s">
        <v>3894</v>
      </c>
      <c r="I276" s="67" t="s">
        <v>8</v>
      </c>
      <c r="J276" s="73" t="s">
        <v>270</v>
      </c>
      <c r="K276" s="4">
        <v>6147780</v>
      </c>
      <c r="L276" s="41">
        <v>89.846000000000004</v>
      </c>
      <c r="M276" s="4">
        <v>5390760</v>
      </c>
      <c r="N276" s="4">
        <v>6000000</v>
      </c>
      <c r="O276" s="4">
        <v>6087179</v>
      </c>
      <c r="P276" s="4">
        <v>0</v>
      </c>
      <c r="Q276" s="4">
        <v>-21636</v>
      </c>
      <c r="R276" s="4">
        <v>0</v>
      </c>
      <c r="S276" s="4">
        <v>0</v>
      </c>
      <c r="T276" s="23">
        <v>2.9</v>
      </c>
      <c r="U276" s="23">
        <v>2.496</v>
      </c>
      <c r="V276" s="5" t="s">
        <v>1916</v>
      </c>
      <c r="W276" s="4">
        <v>80233</v>
      </c>
      <c r="X276" s="4">
        <v>174000</v>
      </c>
      <c r="Y276" s="14">
        <v>43873</v>
      </c>
      <c r="Z276" s="14">
        <v>46402</v>
      </c>
      <c r="AA276" s="2"/>
      <c r="AB276" s="69" t="s">
        <v>3892</v>
      </c>
      <c r="AC276" s="5" t="s">
        <v>4178</v>
      </c>
      <c r="AD276" s="2"/>
      <c r="AE276" s="14">
        <v>46310</v>
      </c>
      <c r="AF276" s="23">
        <v>100</v>
      </c>
      <c r="AG276" s="14">
        <v>46310</v>
      </c>
      <c r="AH276" s="5" t="s">
        <v>307</v>
      </c>
      <c r="AI276" s="5" t="s">
        <v>1966</v>
      </c>
      <c r="AJ276" s="5" t="s">
        <v>2</v>
      </c>
      <c r="AK276" s="21" t="s">
        <v>2</v>
      </c>
      <c r="AL276" s="72" t="s">
        <v>3894</v>
      </c>
      <c r="AM276" s="54" t="s">
        <v>4179</v>
      </c>
      <c r="AN276" s="34" t="s">
        <v>1189</v>
      </c>
    </row>
    <row r="277" spans="2:40" x14ac:dyDescent="0.3">
      <c r="B277" s="18" t="s">
        <v>1967</v>
      </c>
      <c r="C277" s="47" t="s">
        <v>2563</v>
      </c>
      <c r="D277" s="15" t="s">
        <v>848</v>
      </c>
      <c r="E277" s="68" t="s">
        <v>2</v>
      </c>
      <c r="F277" s="55" t="s">
        <v>2</v>
      </c>
      <c r="G277" s="40" t="s">
        <v>2745</v>
      </c>
      <c r="H277" s="71" t="s">
        <v>3894</v>
      </c>
      <c r="I277" s="67" t="s">
        <v>3408</v>
      </c>
      <c r="J277" s="73" t="s">
        <v>270</v>
      </c>
      <c r="K277" s="4">
        <v>4996190</v>
      </c>
      <c r="L277" s="41">
        <v>97.787999999999997</v>
      </c>
      <c r="M277" s="4">
        <v>4889400</v>
      </c>
      <c r="N277" s="4">
        <v>5000000</v>
      </c>
      <c r="O277" s="4">
        <v>4998247</v>
      </c>
      <c r="P277" s="4">
        <v>0</v>
      </c>
      <c r="Q277" s="4">
        <v>564</v>
      </c>
      <c r="R277" s="4">
        <v>0</v>
      </c>
      <c r="S277" s="4">
        <v>0</v>
      </c>
      <c r="T277" s="23">
        <v>4.125</v>
      </c>
      <c r="U277" s="23">
        <v>4.1379999999999999</v>
      </c>
      <c r="V277" s="5" t="s">
        <v>3409</v>
      </c>
      <c r="W277" s="4">
        <v>26354</v>
      </c>
      <c r="X277" s="4">
        <v>206250</v>
      </c>
      <c r="Y277" s="14">
        <v>43704</v>
      </c>
      <c r="Z277" s="14">
        <v>45976</v>
      </c>
      <c r="AA277" s="2"/>
      <c r="AB277" s="69" t="s">
        <v>3892</v>
      </c>
      <c r="AC277" s="5" t="s">
        <v>4178</v>
      </c>
      <c r="AD277" s="2"/>
      <c r="AE277" s="14">
        <v>45915</v>
      </c>
      <c r="AF277" s="23">
        <v>100</v>
      </c>
      <c r="AG277" s="6"/>
      <c r="AH277" s="5" t="s">
        <v>2</v>
      </c>
      <c r="AI277" s="5" t="s">
        <v>848</v>
      </c>
      <c r="AJ277" s="5" t="s">
        <v>2</v>
      </c>
      <c r="AK277" s="21" t="s">
        <v>2</v>
      </c>
      <c r="AL277" s="72" t="s">
        <v>3894</v>
      </c>
      <c r="AM277" s="54" t="s">
        <v>4179</v>
      </c>
      <c r="AN277" s="34" t="s">
        <v>1650</v>
      </c>
    </row>
    <row r="278" spans="2:40" x14ac:dyDescent="0.3">
      <c r="B278" s="18" t="s">
        <v>3101</v>
      </c>
      <c r="C278" s="47" t="s">
        <v>308</v>
      </c>
      <c r="D278" s="15" t="s">
        <v>3932</v>
      </c>
      <c r="E278" s="68" t="s">
        <v>2</v>
      </c>
      <c r="F278" s="55" t="s">
        <v>2</v>
      </c>
      <c r="G278" s="40" t="s">
        <v>2745</v>
      </c>
      <c r="H278" s="71" t="s">
        <v>3894</v>
      </c>
      <c r="I278" s="67" t="s">
        <v>8</v>
      </c>
      <c r="J278" s="73" t="s">
        <v>270</v>
      </c>
      <c r="K278" s="4">
        <v>3000000</v>
      </c>
      <c r="L278" s="41">
        <v>99.063999999999993</v>
      </c>
      <c r="M278" s="4">
        <v>2971920</v>
      </c>
      <c r="N278" s="4">
        <v>3000000</v>
      </c>
      <c r="O278" s="4">
        <v>2999437</v>
      </c>
      <c r="P278" s="4">
        <v>0</v>
      </c>
      <c r="Q278" s="4">
        <v>-238</v>
      </c>
      <c r="R278" s="4">
        <v>0</v>
      </c>
      <c r="S278" s="4">
        <v>0</v>
      </c>
      <c r="T278" s="23">
        <v>3.9289999999999998</v>
      </c>
      <c r="U278" s="23">
        <v>3.9209999999999998</v>
      </c>
      <c r="V278" s="5" t="s">
        <v>3898</v>
      </c>
      <c r="W278" s="4">
        <v>3929</v>
      </c>
      <c r="X278" s="4">
        <v>117870</v>
      </c>
      <c r="Y278" s="14">
        <v>43998</v>
      </c>
      <c r="Z278" s="14">
        <v>45462</v>
      </c>
      <c r="AA278" s="2"/>
      <c r="AB278" s="69" t="s">
        <v>3892</v>
      </c>
      <c r="AC278" s="5" t="s">
        <v>4178</v>
      </c>
      <c r="AD278" s="2"/>
      <c r="AE278" s="14">
        <v>45096</v>
      </c>
      <c r="AF278" s="23">
        <v>100</v>
      </c>
      <c r="AG278" s="6"/>
      <c r="AH278" s="5" t="s">
        <v>2</v>
      </c>
      <c r="AI278" s="5" t="s">
        <v>3932</v>
      </c>
      <c r="AJ278" s="5" t="s">
        <v>2</v>
      </c>
      <c r="AK278" s="21" t="s">
        <v>2</v>
      </c>
      <c r="AL278" s="72" t="s">
        <v>3894</v>
      </c>
      <c r="AM278" s="54" t="s">
        <v>4179</v>
      </c>
      <c r="AN278" s="34" t="s">
        <v>1189</v>
      </c>
    </row>
    <row r="279" spans="2:40" x14ac:dyDescent="0.3">
      <c r="B279" s="18" t="s">
        <v>4234</v>
      </c>
      <c r="C279" s="47" t="s">
        <v>3684</v>
      </c>
      <c r="D279" s="15" t="s">
        <v>4235</v>
      </c>
      <c r="E279" s="68" t="s">
        <v>2</v>
      </c>
      <c r="F279" s="55" t="s">
        <v>2</v>
      </c>
      <c r="G279" s="40" t="s">
        <v>2745</v>
      </c>
      <c r="H279" s="71" t="s">
        <v>3894</v>
      </c>
      <c r="I279" s="67" t="s">
        <v>8</v>
      </c>
      <c r="J279" s="73" t="s">
        <v>270</v>
      </c>
      <c r="K279" s="4">
        <v>5961920</v>
      </c>
      <c r="L279" s="41">
        <v>91.736000000000004</v>
      </c>
      <c r="M279" s="4">
        <v>5687632</v>
      </c>
      <c r="N279" s="4">
        <v>6200000</v>
      </c>
      <c r="O279" s="4">
        <v>5979118</v>
      </c>
      <c r="P279" s="4">
        <v>0</v>
      </c>
      <c r="Q279" s="4">
        <v>17198</v>
      </c>
      <c r="R279" s="4">
        <v>0</v>
      </c>
      <c r="S279" s="4">
        <v>0</v>
      </c>
      <c r="T279" s="23">
        <v>3.9</v>
      </c>
      <c r="U279" s="23">
        <v>4.5540000000000003</v>
      </c>
      <c r="V279" s="5" t="s">
        <v>3409</v>
      </c>
      <c r="W279" s="4">
        <v>40300</v>
      </c>
      <c r="X279" s="4">
        <v>120900</v>
      </c>
      <c r="Y279" s="14">
        <v>44714</v>
      </c>
      <c r="Z279" s="14">
        <v>47239</v>
      </c>
      <c r="AA279" s="2"/>
      <c r="AB279" s="69" t="s">
        <v>3892</v>
      </c>
      <c r="AC279" s="5" t="s">
        <v>4178</v>
      </c>
      <c r="AD279" s="2"/>
      <c r="AE279" s="14">
        <v>47150</v>
      </c>
      <c r="AF279" s="23">
        <v>100</v>
      </c>
      <c r="AG279" s="6"/>
      <c r="AH279" s="5" t="s">
        <v>1436</v>
      </c>
      <c r="AI279" s="5" t="s">
        <v>4235</v>
      </c>
      <c r="AJ279" s="5" t="s">
        <v>2</v>
      </c>
      <c r="AK279" s="21" t="s">
        <v>2</v>
      </c>
      <c r="AL279" s="72" t="s">
        <v>3894</v>
      </c>
      <c r="AM279" s="54" t="s">
        <v>4179</v>
      </c>
      <c r="AN279" s="34" t="s">
        <v>1189</v>
      </c>
    </row>
    <row r="280" spans="2:40" x14ac:dyDescent="0.3">
      <c r="B280" s="18" t="s">
        <v>849</v>
      </c>
      <c r="C280" s="47" t="s">
        <v>539</v>
      </c>
      <c r="D280" s="15" t="s">
        <v>55</v>
      </c>
      <c r="E280" s="68" t="s">
        <v>2</v>
      </c>
      <c r="F280" s="55" t="s">
        <v>2</v>
      </c>
      <c r="G280" s="40" t="s">
        <v>2745</v>
      </c>
      <c r="H280" s="71" t="s">
        <v>3894</v>
      </c>
      <c r="I280" s="67" t="s">
        <v>3408</v>
      </c>
      <c r="J280" s="73" t="s">
        <v>270</v>
      </c>
      <c r="K280" s="4">
        <v>8597280</v>
      </c>
      <c r="L280" s="41">
        <v>93.656999999999996</v>
      </c>
      <c r="M280" s="4">
        <v>7492560</v>
      </c>
      <c r="N280" s="4">
        <v>8000000</v>
      </c>
      <c r="O280" s="4">
        <v>8408970</v>
      </c>
      <c r="P280" s="4">
        <v>0</v>
      </c>
      <c r="Q280" s="4">
        <v>-74925</v>
      </c>
      <c r="R280" s="4">
        <v>0</v>
      </c>
      <c r="S280" s="4">
        <v>0</v>
      </c>
      <c r="T280" s="23">
        <v>3.95</v>
      </c>
      <c r="U280" s="23">
        <v>2.8479999999999999</v>
      </c>
      <c r="V280" s="5" t="s">
        <v>3895</v>
      </c>
      <c r="W280" s="4">
        <v>76367</v>
      </c>
      <c r="X280" s="4">
        <v>316000</v>
      </c>
      <c r="Y280" s="14">
        <v>43985</v>
      </c>
      <c r="Z280" s="14">
        <v>46847</v>
      </c>
      <c r="AA280" s="2"/>
      <c r="AB280" s="69" t="s">
        <v>3892</v>
      </c>
      <c r="AC280" s="5" t="s">
        <v>4178</v>
      </c>
      <c r="AD280" s="2"/>
      <c r="AE280" s="9">
        <v>46756</v>
      </c>
      <c r="AF280" s="23">
        <v>100</v>
      </c>
      <c r="AG280" s="9">
        <v>46756</v>
      </c>
      <c r="AH280" s="5" t="s">
        <v>1968</v>
      </c>
      <c r="AI280" s="5" t="s">
        <v>309</v>
      </c>
      <c r="AJ280" s="5" t="s">
        <v>824</v>
      </c>
      <c r="AK280" s="21" t="s">
        <v>2</v>
      </c>
      <c r="AL280" s="72" t="s">
        <v>3894</v>
      </c>
      <c r="AM280" s="54" t="s">
        <v>4179</v>
      </c>
      <c r="AN280" s="34" t="s">
        <v>1650</v>
      </c>
    </row>
    <row r="281" spans="2:40" x14ac:dyDescent="0.3">
      <c r="B281" s="18" t="s">
        <v>1969</v>
      </c>
      <c r="C281" s="47" t="s">
        <v>540</v>
      </c>
      <c r="D281" s="15" t="s">
        <v>1200</v>
      </c>
      <c r="E281" s="68" t="s">
        <v>2</v>
      </c>
      <c r="F281" s="55" t="s">
        <v>2</v>
      </c>
      <c r="G281" s="40" t="s">
        <v>2</v>
      </c>
      <c r="H281" s="71" t="s">
        <v>2745</v>
      </c>
      <c r="I281" s="67" t="s">
        <v>1414</v>
      </c>
      <c r="J281" s="73" t="s">
        <v>2</v>
      </c>
      <c r="K281" s="4">
        <v>4105880</v>
      </c>
      <c r="L281" s="41">
        <v>99.54</v>
      </c>
      <c r="M281" s="4">
        <v>3981600</v>
      </c>
      <c r="N281" s="4">
        <v>4000000</v>
      </c>
      <c r="O281" s="4">
        <v>4004857</v>
      </c>
      <c r="P281" s="4">
        <v>0</v>
      </c>
      <c r="Q281" s="4">
        <v>-20304</v>
      </c>
      <c r="R281" s="4">
        <v>0</v>
      </c>
      <c r="S281" s="4">
        <v>0</v>
      </c>
      <c r="T281" s="23">
        <v>3.2</v>
      </c>
      <c r="U281" s="23">
        <v>2.6789999999999998</v>
      </c>
      <c r="V281" s="5" t="s">
        <v>10</v>
      </c>
      <c r="W281" s="4">
        <v>33422</v>
      </c>
      <c r="X281" s="4">
        <v>128000</v>
      </c>
      <c r="Y281" s="14">
        <v>42991</v>
      </c>
      <c r="Z281" s="14">
        <v>45011</v>
      </c>
      <c r="AA281" s="2"/>
      <c r="AB281" s="69" t="s">
        <v>1671</v>
      </c>
      <c r="AC281" s="5" t="s">
        <v>2</v>
      </c>
      <c r="AD281" s="2"/>
      <c r="AE281" s="10"/>
      <c r="AF281" s="23"/>
      <c r="AG281" s="10"/>
      <c r="AH281" s="5" t="s">
        <v>2</v>
      </c>
      <c r="AI281" s="5" t="s">
        <v>2792</v>
      </c>
      <c r="AJ281" s="5" t="s">
        <v>2792</v>
      </c>
      <c r="AK281" s="21" t="s">
        <v>2</v>
      </c>
      <c r="AL281" s="72" t="s">
        <v>3894</v>
      </c>
      <c r="AM281" s="54" t="s">
        <v>4179</v>
      </c>
      <c r="AN281" s="34" t="s">
        <v>541</v>
      </c>
    </row>
    <row r="282" spans="2:40" x14ac:dyDescent="0.3">
      <c r="B282" s="18" t="s">
        <v>3447</v>
      </c>
      <c r="C282" s="47" t="s">
        <v>2793</v>
      </c>
      <c r="D282" s="15" t="s">
        <v>2792</v>
      </c>
      <c r="E282" s="68" t="s">
        <v>2</v>
      </c>
      <c r="F282" s="55" t="s">
        <v>2</v>
      </c>
      <c r="G282" s="40" t="s">
        <v>2</v>
      </c>
      <c r="H282" s="71" t="s">
        <v>2745</v>
      </c>
      <c r="I282" s="67" t="s">
        <v>1414</v>
      </c>
      <c r="J282" s="73" t="s">
        <v>2</v>
      </c>
      <c r="K282" s="4">
        <v>3000000</v>
      </c>
      <c r="L282" s="41">
        <v>89.463999999999999</v>
      </c>
      <c r="M282" s="4">
        <v>2683920</v>
      </c>
      <c r="N282" s="4">
        <v>3000000</v>
      </c>
      <c r="O282" s="4">
        <v>3000000</v>
      </c>
      <c r="P282" s="4">
        <v>0</v>
      </c>
      <c r="Q282" s="4">
        <v>0</v>
      </c>
      <c r="R282" s="4">
        <v>0</v>
      </c>
      <c r="S282" s="4">
        <v>0</v>
      </c>
      <c r="T282" s="23">
        <v>2.38</v>
      </c>
      <c r="U282" s="23">
        <v>2.38</v>
      </c>
      <c r="V282" s="5" t="s">
        <v>3409</v>
      </c>
      <c r="W282" s="4">
        <v>6743</v>
      </c>
      <c r="X282" s="4">
        <v>71400</v>
      </c>
      <c r="Y282" s="14">
        <v>43978</v>
      </c>
      <c r="Z282" s="14">
        <v>46534</v>
      </c>
      <c r="AA282" s="2"/>
      <c r="AB282" s="69" t="s">
        <v>1671</v>
      </c>
      <c r="AC282" s="5" t="s">
        <v>2</v>
      </c>
      <c r="AD282" s="2"/>
      <c r="AE282" s="6"/>
      <c r="AF282" s="23"/>
      <c r="AG282" s="6"/>
      <c r="AH282" s="5" t="s">
        <v>2</v>
      </c>
      <c r="AI282" s="5" t="s">
        <v>2792</v>
      </c>
      <c r="AJ282" s="5" t="s">
        <v>2</v>
      </c>
      <c r="AK282" s="21" t="s">
        <v>2</v>
      </c>
      <c r="AL282" s="72" t="s">
        <v>3894</v>
      </c>
      <c r="AM282" s="54" t="s">
        <v>4179</v>
      </c>
      <c r="AN282" s="34" t="s">
        <v>541</v>
      </c>
    </row>
    <row r="283" spans="2:40" x14ac:dyDescent="0.3">
      <c r="B283" s="18" t="s">
        <v>56</v>
      </c>
      <c r="C283" s="47" t="s">
        <v>3685</v>
      </c>
      <c r="D283" s="15" t="s">
        <v>3448</v>
      </c>
      <c r="E283" s="68" t="s">
        <v>2</v>
      </c>
      <c r="F283" s="55" t="s">
        <v>2</v>
      </c>
      <c r="G283" s="40" t="s">
        <v>2745</v>
      </c>
      <c r="H283" s="71" t="s">
        <v>3894</v>
      </c>
      <c r="I283" s="67" t="s">
        <v>8</v>
      </c>
      <c r="J283" s="73" t="s">
        <v>270</v>
      </c>
      <c r="K283" s="4">
        <v>1498305</v>
      </c>
      <c r="L283" s="41">
        <v>93.531000000000006</v>
      </c>
      <c r="M283" s="4">
        <v>1402965</v>
      </c>
      <c r="N283" s="4">
        <v>1500000</v>
      </c>
      <c r="O283" s="4">
        <v>1499079</v>
      </c>
      <c r="P283" s="4">
        <v>0</v>
      </c>
      <c r="Q283" s="4">
        <v>237</v>
      </c>
      <c r="R283" s="4">
        <v>0</v>
      </c>
      <c r="S283" s="4">
        <v>0</v>
      </c>
      <c r="T283" s="23">
        <v>3</v>
      </c>
      <c r="U283" s="23">
        <v>3.0179999999999998</v>
      </c>
      <c r="V283" s="5" t="s">
        <v>268</v>
      </c>
      <c r="W283" s="4">
        <v>17000</v>
      </c>
      <c r="X283" s="4">
        <v>45000</v>
      </c>
      <c r="Y283" s="14">
        <v>43685</v>
      </c>
      <c r="Z283" s="14">
        <v>46249</v>
      </c>
      <c r="AA283" s="2"/>
      <c r="AB283" s="69" t="s">
        <v>3892</v>
      </c>
      <c r="AC283" s="5" t="s">
        <v>4178</v>
      </c>
      <c r="AD283" s="2"/>
      <c r="AE283" s="14">
        <v>46188</v>
      </c>
      <c r="AF283" s="23">
        <v>100</v>
      </c>
      <c r="AG283" s="10"/>
      <c r="AH283" s="5" t="s">
        <v>850</v>
      </c>
      <c r="AI283" s="5" t="s">
        <v>3448</v>
      </c>
      <c r="AJ283" s="5" t="s">
        <v>2</v>
      </c>
      <c r="AK283" s="21" t="s">
        <v>2</v>
      </c>
      <c r="AL283" s="72" t="s">
        <v>3894</v>
      </c>
      <c r="AM283" s="54" t="s">
        <v>4179</v>
      </c>
      <c r="AN283" s="34" t="s">
        <v>1189</v>
      </c>
    </row>
    <row r="284" spans="2:40" x14ac:dyDescent="0.3">
      <c r="B284" s="18" t="s">
        <v>1201</v>
      </c>
      <c r="C284" s="47" t="s">
        <v>4236</v>
      </c>
      <c r="D284" s="15" t="s">
        <v>4237</v>
      </c>
      <c r="E284" s="68" t="s">
        <v>2</v>
      </c>
      <c r="F284" s="55" t="s">
        <v>2</v>
      </c>
      <c r="G284" s="40" t="s">
        <v>2745</v>
      </c>
      <c r="H284" s="71" t="s">
        <v>3894</v>
      </c>
      <c r="I284" s="67" t="s">
        <v>8</v>
      </c>
      <c r="J284" s="73" t="s">
        <v>270</v>
      </c>
      <c r="K284" s="4">
        <v>7165342</v>
      </c>
      <c r="L284" s="41">
        <v>93.597999999999999</v>
      </c>
      <c r="M284" s="4">
        <v>6551860</v>
      </c>
      <c r="N284" s="4">
        <v>7000000</v>
      </c>
      <c r="O284" s="4">
        <v>7164516</v>
      </c>
      <c r="P284" s="4">
        <v>0</v>
      </c>
      <c r="Q284" s="4">
        <v>-826</v>
      </c>
      <c r="R284" s="4">
        <v>0</v>
      </c>
      <c r="S284" s="4">
        <v>0</v>
      </c>
      <c r="T284" s="23">
        <v>3.9</v>
      </c>
      <c r="U284" s="23">
        <v>3.2839999999999998</v>
      </c>
      <c r="V284" s="5" t="s">
        <v>3409</v>
      </c>
      <c r="W284" s="4">
        <v>34883</v>
      </c>
      <c r="X284" s="4">
        <v>0</v>
      </c>
      <c r="Y284" s="14">
        <v>44918</v>
      </c>
      <c r="Z284" s="14">
        <v>46522</v>
      </c>
      <c r="AA284" s="2"/>
      <c r="AB284" s="69" t="s">
        <v>3892</v>
      </c>
      <c r="AC284" s="5" t="s">
        <v>4178</v>
      </c>
      <c r="AD284" s="2"/>
      <c r="AE284" s="14">
        <v>46433</v>
      </c>
      <c r="AF284" s="23">
        <v>100</v>
      </c>
      <c r="AG284" s="9">
        <v>46433</v>
      </c>
      <c r="AH284" s="5" t="s">
        <v>2</v>
      </c>
      <c r="AI284" s="5" t="s">
        <v>4237</v>
      </c>
      <c r="AJ284" s="5" t="s">
        <v>2</v>
      </c>
      <c r="AK284" s="21" t="s">
        <v>2</v>
      </c>
      <c r="AL284" s="72" t="s">
        <v>3894</v>
      </c>
      <c r="AM284" s="54" t="s">
        <v>4179</v>
      </c>
      <c r="AN284" s="34" t="s">
        <v>1189</v>
      </c>
    </row>
    <row r="285" spans="2:40" x14ac:dyDescent="0.3">
      <c r="B285" s="18" t="s">
        <v>2327</v>
      </c>
      <c r="C285" s="47" t="s">
        <v>57</v>
      </c>
      <c r="D285" s="15" t="s">
        <v>542</v>
      </c>
      <c r="E285" s="68" t="s">
        <v>2</v>
      </c>
      <c r="F285" s="55" t="s">
        <v>2</v>
      </c>
      <c r="G285" s="40" t="s">
        <v>2745</v>
      </c>
      <c r="H285" s="71" t="s">
        <v>3894</v>
      </c>
      <c r="I285" s="67" t="s">
        <v>8</v>
      </c>
      <c r="J285" s="73" t="s">
        <v>270</v>
      </c>
      <c r="K285" s="4">
        <v>2987310</v>
      </c>
      <c r="L285" s="41">
        <v>97.742999999999995</v>
      </c>
      <c r="M285" s="4">
        <v>2932290</v>
      </c>
      <c r="N285" s="4">
        <v>3000000</v>
      </c>
      <c r="O285" s="4">
        <v>2995614</v>
      </c>
      <c r="P285" s="4">
        <v>0</v>
      </c>
      <c r="Q285" s="4">
        <v>1866</v>
      </c>
      <c r="R285" s="4">
        <v>0</v>
      </c>
      <c r="S285" s="4">
        <v>0</v>
      </c>
      <c r="T285" s="23">
        <v>3.95</v>
      </c>
      <c r="U285" s="23">
        <v>4.0199999999999996</v>
      </c>
      <c r="V285" s="5" t="s">
        <v>10</v>
      </c>
      <c r="W285" s="4">
        <v>34892</v>
      </c>
      <c r="X285" s="4">
        <v>118500</v>
      </c>
      <c r="Y285" s="14">
        <v>43172</v>
      </c>
      <c r="Z285" s="14">
        <v>45731</v>
      </c>
      <c r="AA285" s="2"/>
      <c r="AB285" s="69" t="s">
        <v>3892</v>
      </c>
      <c r="AC285" s="5" t="s">
        <v>4178</v>
      </c>
      <c r="AD285" s="2"/>
      <c r="AE285" s="14">
        <v>45672</v>
      </c>
      <c r="AF285" s="23">
        <v>100</v>
      </c>
      <c r="AG285" s="10"/>
      <c r="AH285" s="5" t="s">
        <v>310</v>
      </c>
      <c r="AI285" s="5" t="s">
        <v>542</v>
      </c>
      <c r="AJ285" s="5" t="s">
        <v>2</v>
      </c>
      <c r="AK285" s="21" t="s">
        <v>2</v>
      </c>
      <c r="AL285" s="72" t="s">
        <v>3894</v>
      </c>
      <c r="AM285" s="54" t="s">
        <v>4179</v>
      </c>
      <c r="AN285" s="34" t="s">
        <v>1189</v>
      </c>
    </row>
    <row r="286" spans="2:40" x14ac:dyDescent="0.3">
      <c r="B286" s="18" t="s">
        <v>4238</v>
      </c>
      <c r="C286" s="47" t="s">
        <v>1675</v>
      </c>
      <c r="D286" s="15" t="s">
        <v>4239</v>
      </c>
      <c r="E286" s="68" t="s">
        <v>2</v>
      </c>
      <c r="F286" s="55" t="s">
        <v>2</v>
      </c>
      <c r="G286" s="40" t="s">
        <v>3894</v>
      </c>
      <c r="H286" s="71" t="s">
        <v>3894</v>
      </c>
      <c r="I286" s="67" t="s">
        <v>8</v>
      </c>
      <c r="J286" s="73" t="s">
        <v>270</v>
      </c>
      <c r="K286" s="4">
        <v>4790200</v>
      </c>
      <c r="L286" s="41">
        <v>96.777000000000001</v>
      </c>
      <c r="M286" s="4">
        <v>4838850</v>
      </c>
      <c r="N286" s="4">
        <v>5000000</v>
      </c>
      <c r="O286" s="4">
        <v>4904533</v>
      </c>
      <c r="P286" s="4">
        <v>0</v>
      </c>
      <c r="Q286" s="4">
        <v>30750</v>
      </c>
      <c r="R286" s="4">
        <v>0</v>
      </c>
      <c r="S286" s="4">
        <v>0</v>
      </c>
      <c r="T286" s="23">
        <v>4.2</v>
      </c>
      <c r="U286" s="23">
        <v>4.9320000000000004</v>
      </c>
      <c r="V286" s="5" t="s">
        <v>3895</v>
      </c>
      <c r="W286" s="4">
        <v>36167</v>
      </c>
      <c r="X286" s="4">
        <v>210000</v>
      </c>
      <c r="Y286" s="14">
        <v>43469</v>
      </c>
      <c r="Z286" s="14">
        <v>45959</v>
      </c>
      <c r="AA286" s="2"/>
      <c r="AB286" s="69" t="s">
        <v>3892</v>
      </c>
      <c r="AC286" s="5" t="s">
        <v>4178</v>
      </c>
      <c r="AD286" s="2"/>
      <c r="AE286" s="14">
        <v>45929</v>
      </c>
      <c r="AF286" s="23">
        <v>100</v>
      </c>
      <c r="AG286" s="6"/>
      <c r="AH286" s="5" t="s">
        <v>4240</v>
      </c>
      <c r="AI286" s="5" t="s">
        <v>1970</v>
      </c>
      <c r="AJ286" s="5" t="s">
        <v>2564</v>
      </c>
      <c r="AK286" s="21" t="s">
        <v>2</v>
      </c>
      <c r="AL286" s="72" t="s">
        <v>825</v>
      </c>
      <c r="AM286" s="54" t="s">
        <v>4179</v>
      </c>
      <c r="AN286" s="34" t="s">
        <v>1189</v>
      </c>
    </row>
    <row r="287" spans="2:40" x14ac:dyDescent="0.3">
      <c r="B287" s="18" t="s">
        <v>851</v>
      </c>
      <c r="C287" s="47" t="s">
        <v>311</v>
      </c>
      <c r="D287" s="15" t="s">
        <v>4239</v>
      </c>
      <c r="E287" s="68" t="s">
        <v>2</v>
      </c>
      <c r="F287" s="55" t="s">
        <v>2</v>
      </c>
      <c r="G287" s="40" t="s">
        <v>3894</v>
      </c>
      <c r="H287" s="71" t="s">
        <v>3894</v>
      </c>
      <c r="I287" s="67" t="s">
        <v>3408</v>
      </c>
      <c r="J287" s="73" t="s">
        <v>270</v>
      </c>
      <c r="K287" s="4">
        <v>10000000</v>
      </c>
      <c r="L287" s="41">
        <v>77.001999999999995</v>
      </c>
      <c r="M287" s="4">
        <v>7700200</v>
      </c>
      <c r="N287" s="4">
        <v>10000000</v>
      </c>
      <c r="O287" s="4">
        <v>9999915</v>
      </c>
      <c r="P287" s="4">
        <v>0</v>
      </c>
      <c r="Q287" s="4">
        <v>-73</v>
      </c>
      <c r="R287" s="4">
        <v>0</v>
      </c>
      <c r="S287" s="4">
        <v>0</v>
      </c>
      <c r="T287" s="23">
        <v>2.6179999999999999</v>
      </c>
      <c r="U287" s="23">
        <v>2.617</v>
      </c>
      <c r="V287" s="5" t="s">
        <v>3409</v>
      </c>
      <c r="W287" s="4">
        <v>42906</v>
      </c>
      <c r="X287" s="4">
        <v>261800</v>
      </c>
      <c r="Y287" s="14">
        <v>44497</v>
      </c>
      <c r="Z287" s="14">
        <v>48520</v>
      </c>
      <c r="AA287" s="2"/>
      <c r="AB287" s="69" t="s">
        <v>3892</v>
      </c>
      <c r="AC287" s="5" t="s">
        <v>4178</v>
      </c>
      <c r="AD287" s="2"/>
      <c r="AE287" s="14">
        <v>48154</v>
      </c>
      <c r="AF287" s="23">
        <v>100</v>
      </c>
      <c r="AG287" s="6"/>
      <c r="AH287" s="5" t="s">
        <v>4240</v>
      </c>
      <c r="AI287" s="5" t="s">
        <v>1970</v>
      </c>
      <c r="AJ287" s="5" t="s">
        <v>3686</v>
      </c>
      <c r="AK287" s="21" t="s">
        <v>2</v>
      </c>
      <c r="AL287" s="72" t="s">
        <v>3894</v>
      </c>
      <c r="AM287" s="54" t="s">
        <v>4179</v>
      </c>
      <c r="AN287" s="34" t="s">
        <v>1650</v>
      </c>
    </row>
    <row r="288" spans="2:40" x14ac:dyDescent="0.3">
      <c r="B288" s="18" t="s">
        <v>1971</v>
      </c>
      <c r="C288" s="47" t="s">
        <v>1437</v>
      </c>
      <c r="D288" s="15" t="s">
        <v>4239</v>
      </c>
      <c r="E288" s="68" t="s">
        <v>2</v>
      </c>
      <c r="F288" s="55" t="s">
        <v>2</v>
      </c>
      <c r="G288" s="40" t="s">
        <v>3894</v>
      </c>
      <c r="H288" s="71" t="s">
        <v>3894</v>
      </c>
      <c r="I288" s="67" t="s">
        <v>3408</v>
      </c>
      <c r="J288" s="73" t="s">
        <v>270</v>
      </c>
      <c r="K288" s="4">
        <v>4450000</v>
      </c>
      <c r="L288" s="41">
        <v>86.037000000000006</v>
      </c>
      <c r="M288" s="4">
        <v>3828647</v>
      </c>
      <c r="N288" s="4">
        <v>4450000</v>
      </c>
      <c r="O288" s="4">
        <v>4450000</v>
      </c>
      <c r="P288" s="4">
        <v>0</v>
      </c>
      <c r="Q288" s="4">
        <v>0</v>
      </c>
      <c r="R288" s="4">
        <v>0</v>
      </c>
      <c r="S288" s="4">
        <v>0</v>
      </c>
      <c r="T288" s="23">
        <v>3.2730000000000001</v>
      </c>
      <c r="U288" s="23">
        <v>3.0910000000000002</v>
      </c>
      <c r="V288" s="5" t="s">
        <v>10</v>
      </c>
      <c r="W288" s="4">
        <v>48550</v>
      </c>
      <c r="X288" s="4">
        <v>72015</v>
      </c>
      <c r="Y288" s="14">
        <v>44622</v>
      </c>
      <c r="Z288" s="14">
        <v>47543</v>
      </c>
      <c r="AA288" s="2"/>
      <c r="AB288" s="69" t="s">
        <v>3892</v>
      </c>
      <c r="AC288" s="5" t="s">
        <v>4178</v>
      </c>
      <c r="AD288" s="2"/>
      <c r="AE288" s="14">
        <v>47178</v>
      </c>
      <c r="AF288" s="23">
        <v>100</v>
      </c>
      <c r="AG288" s="10"/>
      <c r="AH288" s="5" t="s">
        <v>4240</v>
      </c>
      <c r="AI288" s="5" t="s">
        <v>1970</v>
      </c>
      <c r="AJ288" s="5" t="s">
        <v>3686</v>
      </c>
      <c r="AK288" s="21" t="s">
        <v>2</v>
      </c>
      <c r="AL288" s="72" t="s">
        <v>3894</v>
      </c>
      <c r="AM288" s="54" t="s">
        <v>4179</v>
      </c>
      <c r="AN288" s="34" t="s">
        <v>1650</v>
      </c>
    </row>
    <row r="289" spans="2:40" x14ac:dyDescent="0.3">
      <c r="B289" s="18" t="s">
        <v>3102</v>
      </c>
      <c r="C289" s="47" t="s">
        <v>2565</v>
      </c>
      <c r="D289" s="15" t="s">
        <v>4239</v>
      </c>
      <c r="E289" s="68" t="s">
        <v>2</v>
      </c>
      <c r="F289" s="55" t="s">
        <v>2</v>
      </c>
      <c r="G289" s="40" t="s">
        <v>3894</v>
      </c>
      <c r="H289" s="71" t="s">
        <v>3894</v>
      </c>
      <c r="I289" s="67" t="s">
        <v>3408</v>
      </c>
      <c r="J289" s="73" t="s">
        <v>270</v>
      </c>
      <c r="K289" s="4">
        <v>5000000</v>
      </c>
      <c r="L289" s="41">
        <v>96.888999999999996</v>
      </c>
      <c r="M289" s="4">
        <v>4844450</v>
      </c>
      <c r="N289" s="4">
        <v>5000000</v>
      </c>
      <c r="O289" s="4">
        <v>4999990</v>
      </c>
      <c r="P289" s="4">
        <v>0</v>
      </c>
      <c r="Q289" s="4">
        <v>-10</v>
      </c>
      <c r="R289" s="4">
        <v>0</v>
      </c>
      <c r="S289" s="4">
        <v>0</v>
      </c>
      <c r="T289" s="23">
        <v>4.9269999999999996</v>
      </c>
      <c r="U289" s="23">
        <v>4.548</v>
      </c>
      <c r="V289" s="5" t="s">
        <v>3409</v>
      </c>
      <c r="W289" s="4">
        <v>34900</v>
      </c>
      <c r="X289" s="4">
        <v>123859</v>
      </c>
      <c r="Y289" s="14">
        <v>44686</v>
      </c>
      <c r="Z289" s="14">
        <v>46883</v>
      </c>
      <c r="AA289" s="2"/>
      <c r="AB289" s="69" t="s">
        <v>3892</v>
      </c>
      <c r="AC289" s="5" t="s">
        <v>4178</v>
      </c>
      <c r="AD289" s="2"/>
      <c r="AE289" s="14">
        <v>46517</v>
      </c>
      <c r="AF289" s="23">
        <v>100</v>
      </c>
      <c r="AG289" s="6"/>
      <c r="AH289" s="5" t="s">
        <v>4240</v>
      </c>
      <c r="AI289" s="5" t="s">
        <v>1970</v>
      </c>
      <c r="AJ289" s="5" t="s">
        <v>3686</v>
      </c>
      <c r="AK289" s="21" t="s">
        <v>2</v>
      </c>
      <c r="AL289" s="72" t="s">
        <v>3894</v>
      </c>
      <c r="AM289" s="54" t="s">
        <v>4179</v>
      </c>
      <c r="AN289" s="34" t="s">
        <v>1650</v>
      </c>
    </row>
    <row r="290" spans="2:40" x14ac:dyDescent="0.3">
      <c r="B290" s="18" t="s">
        <v>58</v>
      </c>
      <c r="C290" s="47" t="s">
        <v>3933</v>
      </c>
      <c r="D290" s="15" t="s">
        <v>4239</v>
      </c>
      <c r="E290" s="68" t="s">
        <v>2</v>
      </c>
      <c r="F290" s="55" t="s">
        <v>2</v>
      </c>
      <c r="G290" s="40" t="s">
        <v>3894</v>
      </c>
      <c r="H290" s="71" t="s">
        <v>3894</v>
      </c>
      <c r="I290" s="67" t="s">
        <v>3408</v>
      </c>
      <c r="J290" s="73" t="s">
        <v>270</v>
      </c>
      <c r="K290" s="4">
        <v>3000000</v>
      </c>
      <c r="L290" s="41">
        <v>95.632000000000005</v>
      </c>
      <c r="M290" s="4">
        <v>2868960</v>
      </c>
      <c r="N290" s="4">
        <v>3000000</v>
      </c>
      <c r="O290" s="4">
        <v>3000000</v>
      </c>
      <c r="P290" s="4">
        <v>0</v>
      </c>
      <c r="Q290" s="4">
        <v>0</v>
      </c>
      <c r="R290" s="4">
        <v>0</v>
      </c>
      <c r="S290" s="4">
        <v>0</v>
      </c>
      <c r="T290" s="23">
        <v>5.2469999999999999</v>
      </c>
      <c r="U290" s="23">
        <v>5.13</v>
      </c>
      <c r="V290" s="5" t="s">
        <v>1916</v>
      </c>
      <c r="W290" s="4">
        <v>67337</v>
      </c>
      <c r="X290" s="4">
        <v>0</v>
      </c>
      <c r="Y290" s="14">
        <v>44767</v>
      </c>
      <c r="Z290" s="14">
        <v>47690</v>
      </c>
      <c r="AA290" s="2"/>
      <c r="AB290" s="69" t="s">
        <v>3892</v>
      </c>
      <c r="AC290" s="5" t="s">
        <v>4178</v>
      </c>
      <c r="AD290" s="2"/>
      <c r="AE290" s="14">
        <v>47325</v>
      </c>
      <c r="AF290" s="23">
        <v>100</v>
      </c>
      <c r="AG290" s="6"/>
      <c r="AH290" s="5" t="s">
        <v>4240</v>
      </c>
      <c r="AI290" s="5" t="s">
        <v>1970</v>
      </c>
      <c r="AJ290" s="5" t="s">
        <v>3686</v>
      </c>
      <c r="AK290" s="21" t="s">
        <v>2</v>
      </c>
      <c r="AL290" s="72" t="s">
        <v>3894</v>
      </c>
      <c r="AM290" s="54" t="s">
        <v>4179</v>
      </c>
      <c r="AN290" s="34" t="s">
        <v>1650</v>
      </c>
    </row>
    <row r="291" spans="2:40" x14ac:dyDescent="0.3">
      <c r="B291" s="18" t="s">
        <v>1202</v>
      </c>
      <c r="C291" s="47" t="s">
        <v>59</v>
      </c>
      <c r="D291" s="15" t="s">
        <v>1972</v>
      </c>
      <c r="E291" s="68" t="s">
        <v>2</v>
      </c>
      <c r="F291" s="55" t="s">
        <v>2</v>
      </c>
      <c r="G291" s="40" t="s">
        <v>2745</v>
      </c>
      <c r="H291" s="71" t="s">
        <v>3894</v>
      </c>
      <c r="I291" s="67" t="s">
        <v>8</v>
      </c>
      <c r="J291" s="73" t="s">
        <v>270</v>
      </c>
      <c r="K291" s="4">
        <v>2422526</v>
      </c>
      <c r="L291" s="41">
        <v>97.016999999999996</v>
      </c>
      <c r="M291" s="4">
        <v>2454530</v>
      </c>
      <c r="N291" s="4">
        <v>2530000</v>
      </c>
      <c r="O291" s="4">
        <v>2493487</v>
      </c>
      <c r="P291" s="4">
        <v>0</v>
      </c>
      <c r="Q291" s="4">
        <v>18351</v>
      </c>
      <c r="R291" s="4">
        <v>0</v>
      </c>
      <c r="S291" s="4">
        <v>0</v>
      </c>
      <c r="T291" s="23">
        <v>3.5</v>
      </c>
      <c r="U291" s="23">
        <v>4.3109999999999999</v>
      </c>
      <c r="V291" s="5" t="s">
        <v>3409</v>
      </c>
      <c r="W291" s="4">
        <v>11315</v>
      </c>
      <c r="X291" s="4">
        <v>88550</v>
      </c>
      <c r="Y291" s="14">
        <v>43417</v>
      </c>
      <c r="Z291" s="14">
        <v>45611</v>
      </c>
      <c r="AA291" s="2"/>
      <c r="AB291" s="69" t="s">
        <v>3892</v>
      </c>
      <c r="AC291" s="5" t="s">
        <v>4178</v>
      </c>
      <c r="AD291" s="2"/>
      <c r="AE291" s="14">
        <v>45519</v>
      </c>
      <c r="AF291" s="23">
        <v>100</v>
      </c>
      <c r="AG291" s="6"/>
      <c r="AH291" s="5" t="s">
        <v>4241</v>
      </c>
      <c r="AI291" s="5" t="s">
        <v>1972</v>
      </c>
      <c r="AJ291" s="5" t="s">
        <v>2</v>
      </c>
      <c r="AK291" s="21" t="s">
        <v>2</v>
      </c>
      <c r="AL291" s="72" t="s">
        <v>3894</v>
      </c>
      <c r="AM291" s="54" t="s">
        <v>4179</v>
      </c>
      <c r="AN291" s="34" t="s">
        <v>1189</v>
      </c>
    </row>
    <row r="292" spans="2:40" x14ac:dyDescent="0.3">
      <c r="B292" s="18" t="s">
        <v>2328</v>
      </c>
      <c r="C292" s="47" t="s">
        <v>852</v>
      </c>
      <c r="D292" s="15" t="s">
        <v>1972</v>
      </c>
      <c r="E292" s="68" t="s">
        <v>2</v>
      </c>
      <c r="F292" s="55" t="s">
        <v>2</v>
      </c>
      <c r="G292" s="40" t="s">
        <v>2745</v>
      </c>
      <c r="H292" s="71" t="s">
        <v>3894</v>
      </c>
      <c r="I292" s="67" t="s">
        <v>8</v>
      </c>
      <c r="J292" s="73" t="s">
        <v>270</v>
      </c>
      <c r="K292" s="4">
        <v>2822940</v>
      </c>
      <c r="L292" s="41">
        <v>97.103999999999999</v>
      </c>
      <c r="M292" s="4">
        <v>2913120</v>
      </c>
      <c r="N292" s="4">
        <v>3000000</v>
      </c>
      <c r="O292" s="4">
        <v>2948946</v>
      </c>
      <c r="P292" s="4">
        <v>0</v>
      </c>
      <c r="Q292" s="4">
        <v>33298</v>
      </c>
      <c r="R292" s="4">
        <v>0</v>
      </c>
      <c r="S292" s="4">
        <v>0</v>
      </c>
      <c r="T292" s="23">
        <v>3.0790000000000002</v>
      </c>
      <c r="U292" s="23">
        <v>4.298</v>
      </c>
      <c r="V292" s="5" t="s">
        <v>3898</v>
      </c>
      <c r="W292" s="4">
        <v>4105</v>
      </c>
      <c r="X292" s="4">
        <v>92370</v>
      </c>
      <c r="Y292" s="14">
        <v>43452</v>
      </c>
      <c r="Z292" s="14">
        <v>45458</v>
      </c>
      <c r="AA292" s="2"/>
      <c r="AB292" s="69" t="s">
        <v>3892</v>
      </c>
      <c r="AC292" s="5" t="s">
        <v>4178</v>
      </c>
      <c r="AD292" s="2"/>
      <c r="AE292" s="9">
        <v>45397</v>
      </c>
      <c r="AF292" s="23">
        <v>100</v>
      </c>
      <c r="AG292" s="6"/>
      <c r="AH292" s="5" t="s">
        <v>4241</v>
      </c>
      <c r="AI292" s="5" t="s">
        <v>1972</v>
      </c>
      <c r="AJ292" s="5" t="s">
        <v>2</v>
      </c>
      <c r="AK292" s="21" t="s">
        <v>2</v>
      </c>
      <c r="AL292" s="72" t="s">
        <v>3894</v>
      </c>
      <c r="AM292" s="54" t="s">
        <v>4179</v>
      </c>
      <c r="AN292" s="34" t="s">
        <v>1189</v>
      </c>
    </row>
    <row r="293" spans="2:40" x14ac:dyDescent="0.3">
      <c r="B293" s="18" t="s">
        <v>3449</v>
      </c>
      <c r="C293" s="47" t="s">
        <v>2329</v>
      </c>
      <c r="D293" s="15" t="s">
        <v>2566</v>
      </c>
      <c r="E293" s="68" t="s">
        <v>2</v>
      </c>
      <c r="F293" s="55" t="s">
        <v>2</v>
      </c>
      <c r="G293" s="40" t="s">
        <v>2745</v>
      </c>
      <c r="H293" s="71" t="s">
        <v>2745</v>
      </c>
      <c r="I293" s="67" t="s">
        <v>287</v>
      </c>
      <c r="J293" s="73" t="s">
        <v>270</v>
      </c>
      <c r="K293" s="4">
        <v>2996280</v>
      </c>
      <c r="L293" s="41">
        <v>99.784000000000006</v>
      </c>
      <c r="M293" s="4">
        <v>2993520</v>
      </c>
      <c r="N293" s="4">
        <v>3000000</v>
      </c>
      <c r="O293" s="4">
        <v>2999867</v>
      </c>
      <c r="P293" s="4">
        <v>0</v>
      </c>
      <c r="Q293" s="4">
        <v>789</v>
      </c>
      <c r="R293" s="4">
        <v>0</v>
      </c>
      <c r="S293" s="4">
        <v>0</v>
      </c>
      <c r="T293" s="23">
        <v>3.25</v>
      </c>
      <c r="U293" s="23">
        <v>3.2770000000000001</v>
      </c>
      <c r="V293" s="5" t="s">
        <v>10</v>
      </c>
      <c r="W293" s="4">
        <v>32500</v>
      </c>
      <c r="X293" s="4">
        <v>97500</v>
      </c>
      <c r="Y293" s="14">
        <v>43157</v>
      </c>
      <c r="Z293" s="14">
        <v>44986</v>
      </c>
      <c r="AA293" s="2"/>
      <c r="AB293" s="69" t="s">
        <v>3892</v>
      </c>
      <c r="AC293" s="5" t="s">
        <v>7</v>
      </c>
      <c r="AD293" s="2"/>
      <c r="AE293" s="6"/>
      <c r="AF293" s="23"/>
      <c r="AG293" s="6"/>
      <c r="AH293" s="5" t="s">
        <v>312</v>
      </c>
      <c r="AI293" s="5" t="s">
        <v>2567</v>
      </c>
      <c r="AJ293" s="5" t="s">
        <v>824</v>
      </c>
      <c r="AK293" s="21" t="s">
        <v>2</v>
      </c>
      <c r="AL293" s="72" t="s">
        <v>3894</v>
      </c>
      <c r="AM293" s="54" t="s">
        <v>4179</v>
      </c>
      <c r="AN293" s="34" t="s">
        <v>819</v>
      </c>
    </row>
    <row r="294" spans="2:40" x14ac:dyDescent="0.3">
      <c r="B294" s="18" t="s">
        <v>60</v>
      </c>
      <c r="C294" s="47" t="s">
        <v>61</v>
      </c>
      <c r="D294" s="15" t="s">
        <v>3103</v>
      </c>
      <c r="E294" s="68" t="s">
        <v>2</v>
      </c>
      <c r="F294" s="55" t="s">
        <v>2</v>
      </c>
      <c r="G294" s="40" t="s">
        <v>2745</v>
      </c>
      <c r="H294" s="71" t="s">
        <v>3894</v>
      </c>
      <c r="I294" s="67" t="s">
        <v>1164</v>
      </c>
      <c r="J294" s="73" t="s">
        <v>270</v>
      </c>
      <c r="K294" s="4">
        <v>9403116</v>
      </c>
      <c r="L294" s="41">
        <v>90.355999999999995</v>
      </c>
      <c r="M294" s="4">
        <v>8583820</v>
      </c>
      <c r="N294" s="4">
        <v>9500000</v>
      </c>
      <c r="O294" s="4">
        <v>9433607</v>
      </c>
      <c r="P294" s="4">
        <v>0</v>
      </c>
      <c r="Q294" s="4">
        <v>14980</v>
      </c>
      <c r="R294" s="4">
        <v>0</v>
      </c>
      <c r="S294" s="4">
        <v>0</v>
      </c>
      <c r="T294" s="23">
        <v>2.4929999999999999</v>
      </c>
      <c r="U294" s="23">
        <v>2.673</v>
      </c>
      <c r="V294" s="5" t="s">
        <v>268</v>
      </c>
      <c r="W294" s="4">
        <v>89471</v>
      </c>
      <c r="X294" s="4">
        <v>236832</v>
      </c>
      <c r="Y294" s="14">
        <v>44175</v>
      </c>
      <c r="Z294" s="14">
        <v>46433</v>
      </c>
      <c r="AA294" s="2"/>
      <c r="AB294" s="69" t="s">
        <v>3892</v>
      </c>
      <c r="AC294" s="5" t="s">
        <v>4178</v>
      </c>
      <c r="AD294" s="2"/>
      <c r="AE294" s="9">
        <v>46371</v>
      </c>
      <c r="AF294" s="23">
        <v>100</v>
      </c>
      <c r="AG294" s="6"/>
      <c r="AH294" s="5" t="s">
        <v>2</v>
      </c>
      <c r="AI294" s="5" t="s">
        <v>3103</v>
      </c>
      <c r="AJ294" s="5" t="s">
        <v>2</v>
      </c>
      <c r="AK294" s="21" t="s">
        <v>2</v>
      </c>
      <c r="AL294" s="72" t="s">
        <v>3894</v>
      </c>
      <c r="AM294" s="54" t="s">
        <v>4179</v>
      </c>
      <c r="AN294" s="34" t="s">
        <v>828</v>
      </c>
    </row>
    <row r="295" spans="2:40" x14ac:dyDescent="0.3">
      <c r="B295" s="18" t="s">
        <v>1203</v>
      </c>
      <c r="C295" s="47" t="s">
        <v>853</v>
      </c>
      <c r="D295" s="15" t="s">
        <v>62</v>
      </c>
      <c r="E295" s="68" t="s">
        <v>2</v>
      </c>
      <c r="F295" s="55" t="s">
        <v>2</v>
      </c>
      <c r="G295" s="40" t="s">
        <v>2745</v>
      </c>
      <c r="H295" s="71" t="s">
        <v>2745</v>
      </c>
      <c r="I295" s="67" t="s">
        <v>287</v>
      </c>
      <c r="J295" s="73" t="s">
        <v>270</v>
      </c>
      <c r="K295" s="4">
        <v>3991480</v>
      </c>
      <c r="L295" s="41">
        <v>97.257000000000005</v>
      </c>
      <c r="M295" s="4">
        <v>3890280</v>
      </c>
      <c r="N295" s="4">
        <v>4000000</v>
      </c>
      <c r="O295" s="4">
        <v>3997530</v>
      </c>
      <c r="P295" s="4">
        <v>0</v>
      </c>
      <c r="Q295" s="4">
        <v>1733</v>
      </c>
      <c r="R295" s="4">
        <v>0</v>
      </c>
      <c r="S295" s="4">
        <v>0</v>
      </c>
      <c r="T295" s="23">
        <v>2.85</v>
      </c>
      <c r="U295" s="23">
        <v>2.8959999999999999</v>
      </c>
      <c r="V295" s="5" t="s">
        <v>3409</v>
      </c>
      <c r="W295" s="4">
        <v>13933</v>
      </c>
      <c r="X295" s="4">
        <v>114000</v>
      </c>
      <c r="Y295" s="14">
        <v>43599</v>
      </c>
      <c r="Z295" s="14">
        <v>45429</v>
      </c>
      <c r="AA295" s="2"/>
      <c r="AB295" s="69" t="s">
        <v>3892</v>
      </c>
      <c r="AC295" s="5" t="s">
        <v>4178</v>
      </c>
      <c r="AD295" s="2"/>
      <c r="AE295" s="10"/>
      <c r="AF295" s="23"/>
      <c r="AG295" s="10"/>
      <c r="AH295" s="5" t="s">
        <v>2330</v>
      </c>
      <c r="AI295" s="5" t="s">
        <v>3104</v>
      </c>
      <c r="AJ295" s="5" t="s">
        <v>3104</v>
      </c>
      <c r="AK295" s="21" t="s">
        <v>2</v>
      </c>
      <c r="AL295" s="72" t="s">
        <v>3894</v>
      </c>
      <c r="AM295" s="54" t="s">
        <v>4179</v>
      </c>
      <c r="AN295" s="34" t="s">
        <v>819</v>
      </c>
    </row>
    <row r="296" spans="2:40" x14ac:dyDescent="0.3">
      <c r="B296" s="18" t="s">
        <v>2794</v>
      </c>
      <c r="C296" s="47" t="s">
        <v>2568</v>
      </c>
      <c r="D296" s="15" t="s">
        <v>543</v>
      </c>
      <c r="E296" s="68" t="s">
        <v>2</v>
      </c>
      <c r="F296" s="55" t="s">
        <v>2</v>
      </c>
      <c r="G296" s="40" t="s">
        <v>2745</v>
      </c>
      <c r="H296" s="71" t="s">
        <v>3894</v>
      </c>
      <c r="I296" s="67" t="s">
        <v>1164</v>
      </c>
      <c r="J296" s="73" t="s">
        <v>270</v>
      </c>
      <c r="K296" s="4">
        <v>9522125</v>
      </c>
      <c r="L296" s="41">
        <v>96.686000000000007</v>
      </c>
      <c r="M296" s="4">
        <v>9185170</v>
      </c>
      <c r="N296" s="4">
        <v>9500000</v>
      </c>
      <c r="O296" s="4">
        <v>9506143</v>
      </c>
      <c r="P296" s="4">
        <v>0</v>
      </c>
      <c r="Q296" s="4">
        <v>-4645</v>
      </c>
      <c r="R296" s="4">
        <v>0</v>
      </c>
      <c r="S296" s="4">
        <v>0</v>
      </c>
      <c r="T296" s="23">
        <v>3.5</v>
      </c>
      <c r="U296" s="23">
        <v>3.448</v>
      </c>
      <c r="V296" s="5" t="s">
        <v>3409</v>
      </c>
      <c r="W296" s="4">
        <v>48951</v>
      </c>
      <c r="X296" s="4">
        <v>332500</v>
      </c>
      <c r="Y296" s="14">
        <v>43602</v>
      </c>
      <c r="Z296" s="14">
        <v>45420</v>
      </c>
      <c r="AA296" s="2"/>
      <c r="AB296" s="69" t="s">
        <v>3892</v>
      </c>
      <c r="AC296" s="5" t="s">
        <v>4178</v>
      </c>
      <c r="AD296" s="2"/>
      <c r="AE296" s="14">
        <v>45390</v>
      </c>
      <c r="AF296" s="23">
        <v>100</v>
      </c>
      <c r="AG296" s="9">
        <v>45390</v>
      </c>
      <c r="AH296" s="5" t="s">
        <v>3934</v>
      </c>
      <c r="AI296" s="5" t="s">
        <v>543</v>
      </c>
      <c r="AJ296" s="5" t="s">
        <v>2</v>
      </c>
      <c r="AK296" s="21" t="s">
        <v>2</v>
      </c>
      <c r="AL296" s="72" t="s">
        <v>3894</v>
      </c>
      <c r="AM296" s="54" t="s">
        <v>4179</v>
      </c>
      <c r="AN296" s="34" t="s">
        <v>828</v>
      </c>
    </row>
    <row r="297" spans="2:40" x14ac:dyDescent="0.3">
      <c r="B297" s="18" t="s">
        <v>3935</v>
      </c>
      <c r="C297" s="47" t="s">
        <v>3687</v>
      </c>
      <c r="D297" s="15" t="s">
        <v>543</v>
      </c>
      <c r="E297" s="68" t="s">
        <v>2</v>
      </c>
      <c r="F297" s="55" t="s">
        <v>2</v>
      </c>
      <c r="G297" s="40" t="s">
        <v>2745</v>
      </c>
      <c r="H297" s="71" t="s">
        <v>3894</v>
      </c>
      <c r="I297" s="67" t="s">
        <v>1164</v>
      </c>
      <c r="J297" s="73" t="s">
        <v>270</v>
      </c>
      <c r="K297" s="4">
        <v>9996680</v>
      </c>
      <c r="L297" s="41">
        <v>97.534000000000006</v>
      </c>
      <c r="M297" s="4">
        <v>9753400</v>
      </c>
      <c r="N297" s="4">
        <v>10000000</v>
      </c>
      <c r="O297" s="4">
        <v>9996869</v>
      </c>
      <c r="P297" s="4">
        <v>0</v>
      </c>
      <c r="Q297" s="4">
        <v>189</v>
      </c>
      <c r="R297" s="4">
        <v>0</v>
      </c>
      <c r="S297" s="4">
        <v>0</v>
      </c>
      <c r="T297" s="23">
        <v>6.33</v>
      </c>
      <c r="U297" s="23">
        <v>6.3360000000000003</v>
      </c>
      <c r="V297" s="5" t="s">
        <v>1916</v>
      </c>
      <c r="W297" s="4">
        <v>293642</v>
      </c>
      <c r="X297" s="4">
        <v>0</v>
      </c>
      <c r="Y297" s="14">
        <v>44750</v>
      </c>
      <c r="Z297" s="14">
        <v>47314</v>
      </c>
      <c r="AA297" s="2"/>
      <c r="AB297" s="69" t="s">
        <v>3892</v>
      </c>
      <c r="AC297" s="5" t="s">
        <v>4178</v>
      </c>
      <c r="AD297" s="2"/>
      <c r="AE297" s="9">
        <v>47253</v>
      </c>
      <c r="AF297" s="23">
        <v>100</v>
      </c>
      <c r="AG297" s="6"/>
      <c r="AH297" s="5" t="s">
        <v>3934</v>
      </c>
      <c r="AI297" s="5" t="s">
        <v>543</v>
      </c>
      <c r="AJ297" s="5" t="s">
        <v>2</v>
      </c>
      <c r="AK297" s="21" t="s">
        <v>2</v>
      </c>
      <c r="AL297" s="72" t="s">
        <v>3894</v>
      </c>
      <c r="AM297" s="54" t="s">
        <v>4179</v>
      </c>
      <c r="AN297" s="34" t="s">
        <v>828</v>
      </c>
    </row>
    <row r="298" spans="2:40" x14ac:dyDescent="0.3">
      <c r="B298" s="18" t="s">
        <v>544</v>
      </c>
      <c r="C298" s="47" t="s">
        <v>2331</v>
      </c>
      <c r="D298" s="15" t="s">
        <v>2795</v>
      </c>
      <c r="E298" s="68" t="s">
        <v>2</v>
      </c>
      <c r="F298" s="55" t="s">
        <v>2</v>
      </c>
      <c r="G298" s="40" t="s">
        <v>2745</v>
      </c>
      <c r="H298" s="71" t="s">
        <v>3894</v>
      </c>
      <c r="I298" s="67" t="s">
        <v>1164</v>
      </c>
      <c r="J298" s="73" t="s">
        <v>270</v>
      </c>
      <c r="K298" s="4">
        <v>3967922</v>
      </c>
      <c r="L298" s="41">
        <v>93.905000000000001</v>
      </c>
      <c r="M298" s="4">
        <v>3756200</v>
      </c>
      <c r="N298" s="4">
        <v>4000000</v>
      </c>
      <c r="O298" s="4">
        <v>3978034</v>
      </c>
      <c r="P298" s="4">
        <v>0</v>
      </c>
      <c r="Q298" s="4">
        <v>3890</v>
      </c>
      <c r="R298" s="4">
        <v>0</v>
      </c>
      <c r="S298" s="4">
        <v>0</v>
      </c>
      <c r="T298" s="23">
        <v>4.25</v>
      </c>
      <c r="U298" s="23">
        <v>4.3739999999999997</v>
      </c>
      <c r="V298" s="5" t="s">
        <v>3898</v>
      </c>
      <c r="W298" s="4">
        <v>7556</v>
      </c>
      <c r="X298" s="4">
        <v>170000</v>
      </c>
      <c r="Y298" s="14">
        <v>43959</v>
      </c>
      <c r="Z298" s="14">
        <v>46736</v>
      </c>
      <c r="AA298" s="2"/>
      <c r="AB298" s="69" t="s">
        <v>3892</v>
      </c>
      <c r="AC298" s="5" t="s">
        <v>4178</v>
      </c>
      <c r="AD298" s="2"/>
      <c r="AE298" s="9">
        <v>45275</v>
      </c>
      <c r="AF298" s="23">
        <v>101.417</v>
      </c>
      <c r="AG298" s="6"/>
      <c r="AH298" s="5" t="s">
        <v>63</v>
      </c>
      <c r="AI298" s="5" t="s">
        <v>2795</v>
      </c>
      <c r="AJ298" s="5" t="s">
        <v>2</v>
      </c>
      <c r="AK298" s="21" t="s">
        <v>2</v>
      </c>
      <c r="AL298" s="72" t="s">
        <v>3894</v>
      </c>
      <c r="AM298" s="54" t="s">
        <v>4179</v>
      </c>
      <c r="AN298" s="34" t="s">
        <v>828</v>
      </c>
    </row>
    <row r="299" spans="2:40" x14ac:dyDescent="0.3">
      <c r="B299" s="18" t="s">
        <v>1676</v>
      </c>
      <c r="C299" s="47" t="s">
        <v>1438</v>
      </c>
      <c r="D299" s="15" t="s">
        <v>2332</v>
      </c>
      <c r="E299" s="68" t="s">
        <v>2</v>
      </c>
      <c r="F299" s="55" t="s">
        <v>2</v>
      </c>
      <c r="G299" s="40" t="s">
        <v>2745</v>
      </c>
      <c r="H299" s="71" t="s">
        <v>3894</v>
      </c>
      <c r="I299" s="67" t="s">
        <v>1164</v>
      </c>
      <c r="J299" s="73" t="s">
        <v>270</v>
      </c>
      <c r="K299" s="4">
        <v>5000000</v>
      </c>
      <c r="L299" s="41">
        <v>78.263000000000005</v>
      </c>
      <c r="M299" s="4">
        <v>3913150</v>
      </c>
      <c r="N299" s="4">
        <v>5000000</v>
      </c>
      <c r="O299" s="4">
        <v>5000000</v>
      </c>
      <c r="P299" s="4">
        <v>129750</v>
      </c>
      <c r="Q299" s="4">
        <v>0</v>
      </c>
      <c r="R299" s="4">
        <v>0</v>
      </c>
      <c r="S299" s="4">
        <v>0</v>
      </c>
      <c r="T299" s="23">
        <v>2.5</v>
      </c>
      <c r="U299" s="23">
        <v>2.4990000000000001</v>
      </c>
      <c r="V299" s="5" t="s">
        <v>10</v>
      </c>
      <c r="W299" s="4">
        <v>41667</v>
      </c>
      <c r="X299" s="4">
        <v>125000</v>
      </c>
      <c r="Y299" s="14">
        <v>44237</v>
      </c>
      <c r="Z299" s="14">
        <v>47908</v>
      </c>
      <c r="AA299" s="2"/>
      <c r="AB299" s="69" t="s">
        <v>3892</v>
      </c>
      <c r="AC299" s="5" t="s">
        <v>4178</v>
      </c>
      <c r="AD299" s="2"/>
      <c r="AE299" s="9">
        <v>47818</v>
      </c>
      <c r="AF299" s="23">
        <v>100</v>
      </c>
      <c r="AG299" s="6"/>
      <c r="AH299" s="5" t="s">
        <v>63</v>
      </c>
      <c r="AI299" s="5" t="s">
        <v>2795</v>
      </c>
      <c r="AJ299" s="5" t="s">
        <v>1204</v>
      </c>
      <c r="AK299" s="21" t="s">
        <v>2</v>
      </c>
      <c r="AL299" s="72" t="s">
        <v>3894</v>
      </c>
      <c r="AM299" s="54" t="s">
        <v>4179</v>
      </c>
      <c r="AN299" s="34" t="s">
        <v>828</v>
      </c>
    </row>
    <row r="300" spans="2:40" x14ac:dyDescent="0.3">
      <c r="B300" s="18" t="s">
        <v>2796</v>
      </c>
      <c r="C300" s="47" t="s">
        <v>1205</v>
      </c>
      <c r="D300" s="15" t="s">
        <v>2332</v>
      </c>
      <c r="E300" s="68" t="s">
        <v>2</v>
      </c>
      <c r="F300" s="55" t="s">
        <v>2</v>
      </c>
      <c r="G300" s="40" t="s">
        <v>2745</v>
      </c>
      <c r="H300" s="71" t="s">
        <v>3894</v>
      </c>
      <c r="I300" s="67" t="s">
        <v>1164</v>
      </c>
      <c r="J300" s="73" t="s">
        <v>270</v>
      </c>
      <c r="K300" s="4">
        <v>1500000</v>
      </c>
      <c r="L300" s="41">
        <v>84.248999999999995</v>
      </c>
      <c r="M300" s="4">
        <v>1263735</v>
      </c>
      <c r="N300" s="4">
        <v>1500000</v>
      </c>
      <c r="O300" s="4">
        <v>1500000</v>
      </c>
      <c r="P300" s="4">
        <v>13140</v>
      </c>
      <c r="Q300" s="4">
        <v>0</v>
      </c>
      <c r="R300" s="4">
        <v>0</v>
      </c>
      <c r="S300" s="4">
        <v>0</v>
      </c>
      <c r="T300" s="23">
        <v>2.4500000000000002</v>
      </c>
      <c r="U300" s="23">
        <v>2.4500000000000002</v>
      </c>
      <c r="V300" s="5" t="s">
        <v>1916</v>
      </c>
      <c r="W300" s="4">
        <v>16946</v>
      </c>
      <c r="X300" s="4">
        <v>38179</v>
      </c>
      <c r="Y300" s="14">
        <v>44371</v>
      </c>
      <c r="Z300" s="14">
        <v>46949</v>
      </c>
      <c r="AA300" s="2"/>
      <c r="AB300" s="69" t="s">
        <v>3892</v>
      </c>
      <c r="AC300" s="5" t="s">
        <v>4178</v>
      </c>
      <c r="AD300" s="2"/>
      <c r="AE300" s="9">
        <v>46888</v>
      </c>
      <c r="AF300" s="23">
        <v>100</v>
      </c>
      <c r="AG300" s="6"/>
      <c r="AH300" s="5" t="s">
        <v>63</v>
      </c>
      <c r="AI300" s="5" t="s">
        <v>2795</v>
      </c>
      <c r="AJ300" s="5" t="s">
        <v>1204</v>
      </c>
      <c r="AK300" s="21" t="s">
        <v>2</v>
      </c>
      <c r="AL300" s="72" t="s">
        <v>3894</v>
      </c>
      <c r="AM300" s="54" t="s">
        <v>4179</v>
      </c>
      <c r="AN300" s="34" t="s">
        <v>828</v>
      </c>
    </row>
    <row r="301" spans="2:40" x14ac:dyDescent="0.3">
      <c r="B301" s="18" t="s">
        <v>3936</v>
      </c>
      <c r="C301" s="47" t="s">
        <v>64</v>
      </c>
      <c r="D301" s="15" t="s">
        <v>2332</v>
      </c>
      <c r="E301" s="68" t="s">
        <v>2</v>
      </c>
      <c r="F301" s="55" t="s">
        <v>2</v>
      </c>
      <c r="G301" s="40" t="s">
        <v>2745</v>
      </c>
      <c r="H301" s="71" t="s">
        <v>3894</v>
      </c>
      <c r="I301" s="67" t="s">
        <v>1164</v>
      </c>
      <c r="J301" s="73" t="s">
        <v>270</v>
      </c>
      <c r="K301" s="4">
        <v>2500000</v>
      </c>
      <c r="L301" s="41">
        <v>78.388000000000005</v>
      </c>
      <c r="M301" s="4">
        <v>1959700</v>
      </c>
      <c r="N301" s="4">
        <v>2500000</v>
      </c>
      <c r="O301" s="4">
        <v>2500000</v>
      </c>
      <c r="P301" s="4">
        <v>40925</v>
      </c>
      <c r="Q301" s="4">
        <v>0</v>
      </c>
      <c r="R301" s="4">
        <v>0</v>
      </c>
      <c r="S301" s="4">
        <v>0</v>
      </c>
      <c r="T301" s="23">
        <v>2.625</v>
      </c>
      <c r="U301" s="23">
        <v>2.625</v>
      </c>
      <c r="V301" s="5" t="s">
        <v>268</v>
      </c>
      <c r="W301" s="4">
        <v>27344</v>
      </c>
      <c r="X301" s="4">
        <v>63620</v>
      </c>
      <c r="Y301" s="14">
        <v>44406</v>
      </c>
      <c r="Z301" s="14">
        <v>48061</v>
      </c>
      <c r="AA301" s="2"/>
      <c r="AB301" s="69" t="s">
        <v>3892</v>
      </c>
      <c r="AC301" s="5" t="s">
        <v>4178</v>
      </c>
      <c r="AD301" s="2"/>
      <c r="AE301" s="9">
        <v>47969</v>
      </c>
      <c r="AF301" s="23">
        <v>100</v>
      </c>
      <c r="AG301" s="6"/>
      <c r="AH301" s="5" t="s">
        <v>63</v>
      </c>
      <c r="AI301" s="5" t="s">
        <v>2795</v>
      </c>
      <c r="AJ301" s="5" t="s">
        <v>1204</v>
      </c>
      <c r="AK301" s="21" t="s">
        <v>2</v>
      </c>
      <c r="AL301" s="72" t="s">
        <v>3894</v>
      </c>
      <c r="AM301" s="54" t="s">
        <v>4179</v>
      </c>
      <c r="AN301" s="34" t="s">
        <v>828</v>
      </c>
    </row>
    <row r="302" spans="2:40" x14ac:dyDescent="0.3">
      <c r="B302" s="18" t="s">
        <v>545</v>
      </c>
      <c r="C302" s="47" t="s">
        <v>2797</v>
      </c>
      <c r="D302" s="15" t="s">
        <v>2569</v>
      </c>
      <c r="E302" s="68" t="s">
        <v>2</v>
      </c>
      <c r="F302" s="55" t="s">
        <v>2</v>
      </c>
      <c r="G302" s="40" t="s">
        <v>2745</v>
      </c>
      <c r="H302" s="71" t="s">
        <v>3894</v>
      </c>
      <c r="I302" s="67" t="s">
        <v>8</v>
      </c>
      <c r="J302" s="73" t="s">
        <v>270</v>
      </c>
      <c r="K302" s="4">
        <v>3494050</v>
      </c>
      <c r="L302" s="41">
        <v>95.986000000000004</v>
      </c>
      <c r="M302" s="4">
        <v>3359510</v>
      </c>
      <c r="N302" s="4">
        <v>3500000</v>
      </c>
      <c r="O302" s="4">
        <v>3497962</v>
      </c>
      <c r="P302" s="4">
        <v>0</v>
      </c>
      <c r="Q302" s="4">
        <v>1183</v>
      </c>
      <c r="R302" s="4">
        <v>0</v>
      </c>
      <c r="S302" s="4">
        <v>0</v>
      </c>
      <c r="T302" s="23">
        <v>2.5</v>
      </c>
      <c r="U302" s="23">
        <v>2.536</v>
      </c>
      <c r="V302" s="5" t="s">
        <v>10</v>
      </c>
      <c r="W302" s="4">
        <v>29167</v>
      </c>
      <c r="X302" s="4">
        <v>87500</v>
      </c>
      <c r="Y302" s="14">
        <v>43689</v>
      </c>
      <c r="Z302" s="14">
        <v>45536</v>
      </c>
      <c r="AA302" s="2"/>
      <c r="AB302" s="69" t="s">
        <v>3892</v>
      </c>
      <c r="AC302" s="5" t="s">
        <v>4178</v>
      </c>
      <c r="AD302" s="2"/>
      <c r="AE302" s="9">
        <v>45505</v>
      </c>
      <c r="AF302" s="23">
        <v>100</v>
      </c>
      <c r="AG302" s="6"/>
      <c r="AH302" s="5" t="s">
        <v>313</v>
      </c>
      <c r="AI302" s="5" t="s">
        <v>2569</v>
      </c>
      <c r="AJ302" s="5" t="s">
        <v>2</v>
      </c>
      <c r="AK302" s="21" t="s">
        <v>2</v>
      </c>
      <c r="AL302" s="72" t="s">
        <v>3894</v>
      </c>
      <c r="AM302" s="54" t="s">
        <v>4179</v>
      </c>
      <c r="AN302" s="34" t="s">
        <v>1189</v>
      </c>
    </row>
    <row r="303" spans="2:40" x14ac:dyDescent="0.3">
      <c r="B303" s="18" t="s">
        <v>1677</v>
      </c>
      <c r="C303" s="47" t="s">
        <v>314</v>
      </c>
      <c r="D303" s="15" t="s">
        <v>65</v>
      </c>
      <c r="E303" s="68" t="s">
        <v>2</v>
      </c>
      <c r="F303" s="55" t="s">
        <v>2</v>
      </c>
      <c r="G303" s="40" t="s">
        <v>2745</v>
      </c>
      <c r="H303" s="71" t="s">
        <v>825</v>
      </c>
      <c r="I303" s="67" t="s">
        <v>8</v>
      </c>
      <c r="J303" s="73" t="s">
        <v>270</v>
      </c>
      <c r="K303" s="4">
        <v>510625</v>
      </c>
      <c r="L303" s="41">
        <v>82.856999999999999</v>
      </c>
      <c r="M303" s="4">
        <v>414285</v>
      </c>
      <c r="N303" s="4">
        <v>500000</v>
      </c>
      <c r="O303" s="4">
        <v>414285</v>
      </c>
      <c r="P303" s="4">
        <v>-87784</v>
      </c>
      <c r="Q303" s="4">
        <v>-936</v>
      </c>
      <c r="R303" s="4">
        <v>0</v>
      </c>
      <c r="S303" s="4">
        <v>0</v>
      </c>
      <c r="T303" s="23">
        <v>4.125</v>
      </c>
      <c r="U303" s="23">
        <v>3.86</v>
      </c>
      <c r="V303" s="5" t="s">
        <v>3895</v>
      </c>
      <c r="W303" s="4">
        <v>3495</v>
      </c>
      <c r="X303" s="4">
        <v>20625</v>
      </c>
      <c r="Y303" s="14">
        <v>44417</v>
      </c>
      <c r="Z303" s="14">
        <v>47968</v>
      </c>
      <c r="AA303" s="2"/>
      <c r="AB303" s="69" t="s">
        <v>3892</v>
      </c>
      <c r="AC303" s="5" t="s">
        <v>4178</v>
      </c>
      <c r="AD303" s="2"/>
      <c r="AE303" s="14">
        <v>46142</v>
      </c>
      <c r="AF303" s="23">
        <v>102.063</v>
      </c>
      <c r="AG303" s="6"/>
      <c r="AH303" s="5" t="s">
        <v>3937</v>
      </c>
      <c r="AI303" s="5" t="s">
        <v>854</v>
      </c>
      <c r="AJ303" s="5" t="s">
        <v>824</v>
      </c>
      <c r="AK303" s="21" t="s">
        <v>2</v>
      </c>
      <c r="AL303" s="72" t="s">
        <v>3894</v>
      </c>
      <c r="AM303" s="54" t="s">
        <v>4179</v>
      </c>
      <c r="AN303" s="34" t="s">
        <v>525</v>
      </c>
    </row>
    <row r="304" spans="2:40" x14ac:dyDescent="0.3">
      <c r="B304" s="18" t="s">
        <v>3105</v>
      </c>
      <c r="C304" s="47" t="s">
        <v>2333</v>
      </c>
      <c r="D304" s="15" t="s">
        <v>2570</v>
      </c>
      <c r="E304" s="68" t="s">
        <v>2</v>
      </c>
      <c r="F304" s="55" t="s">
        <v>2</v>
      </c>
      <c r="G304" s="40" t="s">
        <v>2</v>
      </c>
      <c r="H304" s="71" t="s">
        <v>2745</v>
      </c>
      <c r="I304" s="67" t="s">
        <v>1414</v>
      </c>
      <c r="J304" s="73" t="s">
        <v>2</v>
      </c>
      <c r="K304" s="4">
        <v>6600964</v>
      </c>
      <c r="L304" s="41">
        <v>77.221000000000004</v>
      </c>
      <c r="M304" s="4">
        <v>5251028</v>
      </c>
      <c r="N304" s="4">
        <v>6800000</v>
      </c>
      <c r="O304" s="4">
        <v>6621857</v>
      </c>
      <c r="P304" s="4">
        <v>0</v>
      </c>
      <c r="Q304" s="4">
        <v>20385</v>
      </c>
      <c r="R304" s="4">
        <v>0</v>
      </c>
      <c r="S304" s="4">
        <v>0</v>
      </c>
      <c r="T304" s="23">
        <v>2.0299999999999998</v>
      </c>
      <c r="U304" s="23">
        <v>2.3969999999999998</v>
      </c>
      <c r="V304" s="5" t="s">
        <v>3409</v>
      </c>
      <c r="W304" s="4">
        <v>16872</v>
      </c>
      <c r="X304" s="4">
        <v>138040</v>
      </c>
      <c r="Y304" s="14">
        <v>44543</v>
      </c>
      <c r="Z304" s="14">
        <v>47804</v>
      </c>
      <c r="AA304" s="2"/>
      <c r="AB304" s="69" t="s">
        <v>1671</v>
      </c>
      <c r="AC304" s="5" t="s">
        <v>2</v>
      </c>
      <c r="AD304" s="2"/>
      <c r="AE304" s="6"/>
      <c r="AF304" s="23"/>
      <c r="AG304" s="6"/>
      <c r="AH304" s="5" t="s">
        <v>2</v>
      </c>
      <c r="AI304" s="5" t="s">
        <v>3106</v>
      </c>
      <c r="AJ304" s="5" t="s">
        <v>546</v>
      </c>
      <c r="AK304" s="21" t="s">
        <v>2</v>
      </c>
      <c r="AL304" s="72" t="s">
        <v>3894</v>
      </c>
      <c r="AM304" s="54" t="s">
        <v>4179</v>
      </c>
      <c r="AN304" s="34" t="s">
        <v>541</v>
      </c>
    </row>
    <row r="305" spans="2:40" x14ac:dyDescent="0.3">
      <c r="B305" s="18" t="s">
        <v>4242</v>
      </c>
      <c r="C305" s="47" t="s">
        <v>2571</v>
      </c>
      <c r="D305" s="15" t="s">
        <v>2570</v>
      </c>
      <c r="E305" s="68" t="s">
        <v>2</v>
      </c>
      <c r="F305" s="55" t="s">
        <v>2</v>
      </c>
      <c r="G305" s="40" t="s">
        <v>2</v>
      </c>
      <c r="H305" s="71" t="s">
        <v>2745</v>
      </c>
      <c r="I305" s="67" t="s">
        <v>1414</v>
      </c>
      <c r="J305" s="73" t="s">
        <v>2</v>
      </c>
      <c r="K305" s="4">
        <v>8256475</v>
      </c>
      <c r="L305" s="41">
        <v>77.513999999999996</v>
      </c>
      <c r="M305" s="4">
        <v>6588690</v>
      </c>
      <c r="N305" s="4">
        <v>8500000</v>
      </c>
      <c r="O305" s="4">
        <v>8282529</v>
      </c>
      <c r="P305" s="4">
        <v>0</v>
      </c>
      <c r="Q305" s="4">
        <v>25416</v>
      </c>
      <c r="R305" s="4">
        <v>0</v>
      </c>
      <c r="S305" s="4">
        <v>0</v>
      </c>
      <c r="T305" s="23">
        <v>2.0299999999999998</v>
      </c>
      <c r="U305" s="23">
        <v>2.3940000000000001</v>
      </c>
      <c r="V305" s="5" t="s">
        <v>10</v>
      </c>
      <c r="W305" s="4">
        <v>44575</v>
      </c>
      <c r="X305" s="4">
        <v>172550</v>
      </c>
      <c r="Y305" s="14">
        <v>44543</v>
      </c>
      <c r="Z305" s="14">
        <v>47754</v>
      </c>
      <c r="AA305" s="2"/>
      <c r="AB305" s="69" t="s">
        <v>1671</v>
      </c>
      <c r="AC305" s="5" t="s">
        <v>2</v>
      </c>
      <c r="AD305" s="2"/>
      <c r="AE305" s="6"/>
      <c r="AF305" s="23"/>
      <c r="AG305" s="6"/>
      <c r="AH305" s="5" t="s">
        <v>2</v>
      </c>
      <c r="AI305" s="5" t="s">
        <v>3106</v>
      </c>
      <c r="AJ305" s="5" t="s">
        <v>546</v>
      </c>
      <c r="AK305" s="21" t="s">
        <v>2</v>
      </c>
      <c r="AL305" s="72" t="s">
        <v>3894</v>
      </c>
      <c r="AM305" s="54" t="s">
        <v>4179</v>
      </c>
      <c r="AN305" s="34" t="s">
        <v>541</v>
      </c>
    </row>
    <row r="306" spans="2:40" x14ac:dyDescent="0.3">
      <c r="B306" s="18" t="s">
        <v>1678</v>
      </c>
      <c r="C306" s="47" t="s">
        <v>3450</v>
      </c>
      <c r="D306" s="15" t="s">
        <v>2570</v>
      </c>
      <c r="E306" s="68" t="s">
        <v>2</v>
      </c>
      <c r="F306" s="55" t="s">
        <v>2</v>
      </c>
      <c r="G306" s="40" t="s">
        <v>2</v>
      </c>
      <c r="H306" s="71" t="s">
        <v>2745</v>
      </c>
      <c r="I306" s="67" t="s">
        <v>1414</v>
      </c>
      <c r="J306" s="73" t="s">
        <v>2</v>
      </c>
      <c r="K306" s="4">
        <v>8000000</v>
      </c>
      <c r="L306" s="41">
        <v>85.83</v>
      </c>
      <c r="M306" s="4">
        <v>6866400</v>
      </c>
      <c r="N306" s="4">
        <v>8000000</v>
      </c>
      <c r="O306" s="4">
        <v>8000000</v>
      </c>
      <c r="P306" s="4">
        <v>0</v>
      </c>
      <c r="Q306" s="4">
        <v>0</v>
      </c>
      <c r="R306" s="4">
        <v>0</v>
      </c>
      <c r="S306" s="4">
        <v>0</v>
      </c>
      <c r="T306" s="23">
        <v>2.59</v>
      </c>
      <c r="U306" s="23">
        <v>2.59</v>
      </c>
      <c r="V306" s="5" t="s">
        <v>1916</v>
      </c>
      <c r="W306" s="4">
        <v>88636</v>
      </c>
      <c r="X306" s="4">
        <v>103600</v>
      </c>
      <c r="Y306" s="14">
        <v>44588</v>
      </c>
      <c r="Z306" s="14">
        <v>47145</v>
      </c>
      <c r="AA306" s="2"/>
      <c r="AB306" s="69" t="s">
        <v>1671</v>
      </c>
      <c r="AC306" s="5" t="s">
        <v>2</v>
      </c>
      <c r="AD306" s="2"/>
      <c r="AE306" s="10"/>
      <c r="AF306" s="23"/>
      <c r="AG306" s="10"/>
      <c r="AH306" s="5" t="s">
        <v>2</v>
      </c>
      <c r="AI306" s="5" t="s">
        <v>3106</v>
      </c>
      <c r="AJ306" s="5" t="s">
        <v>546</v>
      </c>
      <c r="AK306" s="21" t="s">
        <v>2</v>
      </c>
      <c r="AL306" s="72" t="s">
        <v>3894</v>
      </c>
      <c r="AM306" s="54" t="s">
        <v>4179</v>
      </c>
      <c r="AN306" s="34" t="s">
        <v>541</v>
      </c>
    </row>
    <row r="307" spans="2:40" x14ac:dyDescent="0.3">
      <c r="B307" s="18" t="s">
        <v>2798</v>
      </c>
      <c r="C307" s="47" t="s">
        <v>2334</v>
      </c>
      <c r="D307" s="15" t="s">
        <v>1206</v>
      </c>
      <c r="E307" s="68" t="s">
        <v>2</v>
      </c>
      <c r="F307" s="55" t="s">
        <v>2</v>
      </c>
      <c r="G307" s="40" t="s">
        <v>2745</v>
      </c>
      <c r="H307" s="71" t="s">
        <v>2745</v>
      </c>
      <c r="I307" s="67" t="s">
        <v>2274</v>
      </c>
      <c r="J307" s="73" t="s">
        <v>270</v>
      </c>
      <c r="K307" s="4">
        <v>5000000</v>
      </c>
      <c r="L307" s="41">
        <v>85.930999999999997</v>
      </c>
      <c r="M307" s="4">
        <v>4296550</v>
      </c>
      <c r="N307" s="4">
        <v>5000000</v>
      </c>
      <c r="O307" s="4">
        <v>5000000</v>
      </c>
      <c r="P307" s="4">
        <v>0</v>
      </c>
      <c r="Q307" s="4">
        <v>0</v>
      </c>
      <c r="R307" s="4">
        <v>0</v>
      </c>
      <c r="S307" s="4">
        <v>0</v>
      </c>
      <c r="T307" s="23">
        <v>1.018</v>
      </c>
      <c r="U307" s="23">
        <v>1.0169999999999999</v>
      </c>
      <c r="V307" s="5" t="s">
        <v>268</v>
      </c>
      <c r="W307" s="4">
        <v>19653</v>
      </c>
      <c r="X307" s="4">
        <v>50900</v>
      </c>
      <c r="Y307" s="14">
        <v>44053</v>
      </c>
      <c r="Z307" s="14">
        <v>46611</v>
      </c>
      <c r="AA307" s="2"/>
      <c r="AB307" s="69" t="s">
        <v>3892</v>
      </c>
      <c r="AC307" s="5" t="s">
        <v>4178</v>
      </c>
      <c r="AD307" s="2"/>
      <c r="AE307" s="14">
        <v>46550</v>
      </c>
      <c r="AF307" s="23">
        <v>100</v>
      </c>
      <c r="AG307" s="10"/>
      <c r="AH307" s="5" t="s">
        <v>4243</v>
      </c>
      <c r="AI307" s="5" t="s">
        <v>1973</v>
      </c>
      <c r="AJ307" s="5" t="s">
        <v>3938</v>
      </c>
      <c r="AK307" s="21" t="s">
        <v>2</v>
      </c>
      <c r="AL307" s="72" t="s">
        <v>3894</v>
      </c>
      <c r="AM307" s="54" t="s">
        <v>4179</v>
      </c>
      <c r="AN307" s="34" t="s">
        <v>1408</v>
      </c>
    </row>
    <row r="308" spans="2:40" x14ac:dyDescent="0.3">
      <c r="B308" s="18" t="s">
        <v>3939</v>
      </c>
      <c r="C308" s="47" t="s">
        <v>855</v>
      </c>
      <c r="D308" s="15" t="s">
        <v>66</v>
      </c>
      <c r="E308" s="68" t="s">
        <v>2</v>
      </c>
      <c r="F308" s="55" t="s">
        <v>2</v>
      </c>
      <c r="G308" s="40" t="s">
        <v>2745</v>
      </c>
      <c r="H308" s="71" t="s">
        <v>2745</v>
      </c>
      <c r="I308" s="67" t="s">
        <v>2274</v>
      </c>
      <c r="J308" s="73" t="s">
        <v>270</v>
      </c>
      <c r="K308" s="4">
        <v>15518000</v>
      </c>
      <c r="L308" s="41">
        <v>89.984999999999999</v>
      </c>
      <c r="M308" s="4">
        <v>13497750</v>
      </c>
      <c r="N308" s="4">
        <v>15000000</v>
      </c>
      <c r="O308" s="4">
        <v>15326022</v>
      </c>
      <c r="P308" s="4">
        <v>0</v>
      </c>
      <c r="Q308" s="4">
        <v>-75337</v>
      </c>
      <c r="R308" s="4">
        <v>0</v>
      </c>
      <c r="S308" s="4">
        <v>0</v>
      </c>
      <c r="T308" s="23">
        <v>1.9950000000000001</v>
      </c>
      <c r="U308" s="23">
        <v>1.4570000000000001</v>
      </c>
      <c r="V308" s="5" t="s">
        <v>3409</v>
      </c>
      <c r="W308" s="4">
        <v>41563</v>
      </c>
      <c r="X308" s="4">
        <v>299250</v>
      </c>
      <c r="Y308" s="14">
        <v>43985</v>
      </c>
      <c r="Z308" s="14">
        <v>46518</v>
      </c>
      <c r="AA308" s="2"/>
      <c r="AB308" s="69" t="s">
        <v>3892</v>
      </c>
      <c r="AC308" s="5" t="s">
        <v>4178</v>
      </c>
      <c r="AD308" s="2"/>
      <c r="AE308" s="14">
        <v>46457</v>
      </c>
      <c r="AF308" s="23">
        <v>100</v>
      </c>
      <c r="AG308" s="14">
        <v>46457</v>
      </c>
      <c r="AH308" s="5" t="s">
        <v>1207</v>
      </c>
      <c r="AI308" s="5" t="s">
        <v>66</v>
      </c>
      <c r="AJ308" s="5" t="s">
        <v>2</v>
      </c>
      <c r="AK308" s="21" t="s">
        <v>2</v>
      </c>
      <c r="AL308" s="72" t="s">
        <v>3894</v>
      </c>
      <c r="AM308" s="54" t="s">
        <v>4179</v>
      </c>
      <c r="AN308" s="34" t="s">
        <v>1408</v>
      </c>
    </row>
    <row r="309" spans="2:40" x14ac:dyDescent="0.3">
      <c r="B309" s="18" t="s">
        <v>547</v>
      </c>
      <c r="C309" s="47" t="s">
        <v>2572</v>
      </c>
      <c r="D309" s="15" t="s">
        <v>3940</v>
      </c>
      <c r="E309" s="68" t="s">
        <v>2</v>
      </c>
      <c r="F309" s="55" t="s">
        <v>2</v>
      </c>
      <c r="G309" s="40" t="s">
        <v>2</v>
      </c>
      <c r="H309" s="71" t="s">
        <v>3894</v>
      </c>
      <c r="I309" s="67" t="s">
        <v>8</v>
      </c>
      <c r="J309" s="73" t="s">
        <v>2</v>
      </c>
      <c r="K309" s="4">
        <v>5000000</v>
      </c>
      <c r="L309" s="41">
        <v>86.382999999999996</v>
      </c>
      <c r="M309" s="4">
        <v>4319150</v>
      </c>
      <c r="N309" s="4">
        <v>5000000</v>
      </c>
      <c r="O309" s="4">
        <v>5000000</v>
      </c>
      <c r="P309" s="4">
        <v>0</v>
      </c>
      <c r="Q309" s="4">
        <v>0</v>
      </c>
      <c r="R309" s="4">
        <v>0</v>
      </c>
      <c r="S309" s="4">
        <v>0</v>
      </c>
      <c r="T309" s="23">
        <v>1.82</v>
      </c>
      <c r="U309" s="23">
        <v>1.82</v>
      </c>
      <c r="V309" s="5" t="s">
        <v>3895</v>
      </c>
      <c r="W309" s="4">
        <v>15672</v>
      </c>
      <c r="X309" s="4">
        <v>91000</v>
      </c>
      <c r="Y309" s="14">
        <v>44133</v>
      </c>
      <c r="Z309" s="14">
        <v>46689</v>
      </c>
      <c r="AA309" s="2"/>
      <c r="AB309" s="69" t="s">
        <v>1671</v>
      </c>
      <c r="AC309" s="5" t="s">
        <v>2</v>
      </c>
      <c r="AD309" s="2"/>
      <c r="AE309" s="10"/>
      <c r="AF309" s="23"/>
      <c r="AG309" s="6"/>
      <c r="AH309" s="5" t="s">
        <v>1679</v>
      </c>
      <c r="AI309" s="5" t="s">
        <v>3940</v>
      </c>
      <c r="AJ309" s="5" t="s">
        <v>2</v>
      </c>
      <c r="AK309" s="21" t="s">
        <v>2</v>
      </c>
      <c r="AL309" s="72" t="s">
        <v>3894</v>
      </c>
      <c r="AM309" s="54" t="s">
        <v>4179</v>
      </c>
      <c r="AN309" s="34" t="s">
        <v>1439</v>
      </c>
    </row>
    <row r="310" spans="2:40" x14ac:dyDescent="0.3">
      <c r="B310" s="18" t="s">
        <v>1680</v>
      </c>
      <c r="C310" s="47" t="s">
        <v>2573</v>
      </c>
      <c r="D310" s="15" t="s">
        <v>3940</v>
      </c>
      <c r="E310" s="68" t="s">
        <v>2</v>
      </c>
      <c r="F310" s="55" t="s">
        <v>2</v>
      </c>
      <c r="G310" s="40" t="s">
        <v>2</v>
      </c>
      <c r="H310" s="71" t="s">
        <v>3894</v>
      </c>
      <c r="I310" s="67" t="s">
        <v>8</v>
      </c>
      <c r="J310" s="73" t="s">
        <v>2</v>
      </c>
      <c r="K310" s="4">
        <v>5000000</v>
      </c>
      <c r="L310" s="41">
        <v>83.611999999999995</v>
      </c>
      <c r="M310" s="4">
        <v>4180600</v>
      </c>
      <c r="N310" s="4">
        <v>5000000</v>
      </c>
      <c r="O310" s="4">
        <v>5000000</v>
      </c>
      <c r="P310" s="4">
        <v>0</v>
      </c>
      <c r="Q310" s="4">
        <v>0</v>
      </c>
      <c r="R310" s="4">
        <v>0</v>
      </c>
      <c r="S310" s="4">
        <v>0</v>
      </c>
      <c r="T310" s="23">
        <v>1.9</v>
      </c>
      <c r="U310" s="23">
        <v>1.9</v>
      </c>
      <c r="V310" s="5" t="s">
        <v>3895</v>
      </c>
      <c r="W310" s="4">
        <v>16361</v>
      </c>
      <c r="X310" s="4">
        <v>95000</v>
      </c>
      <c r="Y310" s="14">
        <v>44133</v>
      </c>
      <c r="Z310" s="14">
        <v>47055</v>
      </c>
      <c r="AA310" s="2"/>
      <c r="AB310" s="69" t="s">
        <v>1671</v>
      </c>
      <c r="AC310" s="5" t="s">
        <v>2</v>
      </c>
      <c r="AD310" s="2"/>
      <c r="AE310" s="10"/>
      <c r="AF310" s="23"/>
      <c r="AG310" s="6"/>
      <c r="AH310" s="5" t="s">
        <v>1679</v>
      </c>
      <c r="AI310" s="5" t="s">
        <v>3940</v>
      </c>
      <c r="AJ310" s="5" t="s">
        <v>2</v>
      </c>
      <c r="AK310" s="21" t="s">
        <v>2</v>
      </c>
      <c r="AL310" s="72" t="s">
        <v>3894</v>
      </c>
      <c r="AM310" s="54" t="s">
        <v>4179</v>
      </c>
      <c r="AN310" s="34" t="s">
        <v>1439</v>
      </c>
    </row>
    <row r="311" spans="2:40" x14ac:dyDescent="0.3">
      <c r="B311" s="18" t="s">
        <v>2799</v>
      </c>
      <c r="C311" s="47" t="s">
        <v>1208</v>
      </c>
      <c r="D311" s="15" t="s">
        <v>3940</v>
      </c>
      <c r="E311" s="68" t="s">
        <v>2</v>
      </c>
      <c r="F311" s="55" t="s">
        <v>2</v>
      </c>
      <c r="G311" s="40" t="s">
        <v>2</v>
      </c>
      <c r="H311" s="71" t="s">
        <v>3894</v>
      </c>
      <c r="I311" s="67" t="s">
        <v>8</v>
      </c>
      <c r="J311" s="73" t="s">
        <v>2</v>
      </c>
      <c r="K311" s="4">
        <v>5000000</v>
      </c>
      <c r="L311" s="41">
        <v>81.760000000000005</v>
      </c>
      <c r="M311" s="4">
        <v>4088000</v>
      </c>
      <c r="N311" s="4">
        <v>5000000</v>
      </c>
      <c r="O311" s="4">
        <v>5000000</v>
      </c>
      <c r="P311" s="4">
        <v>0</v>
      </c>
      <c r="Q311" s="4">
        <v>0</v>
      </c>
      <c r="R311" s="4">
        <v>0</v>
      </c>
      <c r="S311" s="4">
        <v>0</v>
      </c>
      <c r="T311" s="23">
        <v>1.97</v>
      </c>
      <c r="U311" s="23">
        <v>1.97</v>
      </c>
      <c r="V311" s="5" t="s">
        <v>3895</v>
      </c>
      <c r="W311" s="4">
        <v>16964</v>
      </c>
      <c r="X311" s="4">
        <v>98500</v>
      </c>
      <c r="Y311" s="14">
        <v>44133</v>
      </c>
      <c r="Z311" s="14">
        <v>47420</v>
      </c>
      <c r="AA311" s="2"/>
      <c r="AB311" s="69" t="s">
        <v>1671</v>
      </c>
      <c r="AC311" s="5" t="s">
        <v>2</v>
      </c>
      <c r="AD311" s="2"/>
      <c r="AE311" s="10"/>
      <c r="AF311" s="23"/>
      <c r="AG311" s="6"/>
      <c r="AH311" s="5" t="s">
        <v>1679</v>
      </c>
      <c r="AI311" s="5" t="s">
        <v>3940</v>
      </c>
      <c r="AJ311" s="5" t="s">
        <v>2</v>
      </c>
      <c r="AK311" s="21" t="s">
        <v>2</v>
      </c>
      <c r="AL311" s="72" t="s">
        <v>3894</v>
      </c>
      <c r="AM311" s="54" t="s">
        <v>4179</v>
      </c>
      <c r="AN311" s="34" t="s">
        <v>1439</v>
      </c>
    </row>
    <row r="312" spans="2:40" x14ac:dyDescent="0.3">
      <c r="B312" s="18" t="s">
        <v>3941</v>
      </c>
      <c r="C312" s="47" t="s">
        <v>3107</v>
      </c>
      <c r="D312" s="15" t="s">
        <v>856</v>
      </c>
      <c r="E312" s="68" t="s">
        <v>2</v>
      </c>
      <c r="F312" s="55" t="s">
        <v>2</v>
      </c>
      <c r="G312" s="40" t="s">
        <v>2745</v>
      </c>
      <c r="H312" s="71" t="s">
        <v>2745</v>
      </c>
      <c r="I312" s="67" t="s">
        <v>1414</v>
      </c>
      <c r="J312" s="73" t="s">
        <v>270</v>
      </c>
      <c r="K312" s="4">
        <v>10254100</v>
      </c>
      <c r="L312" s="41">
        <v>96.977000000000004</v>
      </c>
      <c r="M312" s="4">
        <v>9697700</v>
      </c>
      <c r="N312" s="4">
        <v>10000000</v>
      </c>
      <c r="O312" s="4">
        <v>10082189</v>
      </c>
      <c r="P312" s="4">
        <v>0</v>
      </c>
      <c r="Q312" s="4">
        <v>-61101</v>
      </c>
      <c r="R312" s="4">
        <v>0</v>
      </c>
      <c r="S312" s="4">
        <v>0</v>
      </c>
      <c r="T312" s="23">
        <v>3.3519999999999999</v>
      </c>
      <c r="U312" s="23">
        <v>2.7090000000000001</v>
      </c>
      <c r="V312" s="5" t="s">
        <v>3895</v>
      </c>
      <c r="W312" s="4">
        <v>62384</v>
      </c>
      <c r="X312" s="4">
        <v>335200</v>
      </c>
      <c r="Y312" s="14">
        <v>43873</v>
      </c>
      <c r="Z312" s="14">
        <v>45771</v>
      </c>
      <c r="AA312" s="2"/>
      <c r="AB312" s="69" t="s">
        <v>3892</v>
      </c>
      <c r="AC312" s="5" t="s">
        <v>4178</v>
      </c>
      <c r="AD312" s="2"/>
      <c r="AE312" s="14">
        <v>45406</v>
      </c>
      <c r="AF312" s="23">
        <v>100</v>
      </c>
      <c r="AG312" s="14">
        <v>45406</v>
      </c>
      <c r="AH312" s="5" t="s">
        <v>1209</v>
      </c>
      <c r="AI312" s="5" t="s">
        <v>856</v>
      </c>
      <c r="AJ312" s="5" t="s">
        <v>2</v>
      </c>
      <c r="AK312" s="21" t="s">
        <v>2</v>
      </c>
      <c r="AL312" s="72" t="s">
        <v>3894</v>
      </c>
      <c r="AM312" s="54" t="s">
        <v>4179</v>
      </c>
      <c r="AN312" s="34" t="s">
        <v>512</v>
      </c>
    </row>
    <row r="313" spans="2:40" x14ac:dyDescent="0.3">
      <c r="B313" s="18" t="s">
        <v>857</v>
      </c>
      <c r="C313" s="47" t="s">
        <v>2800</v>
      </c>
      <c r="D313" s="15" t="s">
        <v>856</v>
      </c>
      <c r="E313" s="68" t="s">
        <v>2</v>
      </c>
      <c r="F313" s="55" t="s">
        <v>2</v>
      </c>
      <c r="G313" s="40" t="s">
        <v>2745</v>
      </c>
      <c r="H313" s="71" t="s">
        <v>2745</v>
      </c>
      <c r="I313" s="67" t="s">
        <v>1414</v>
      </c>
      <c r="J313" s="73" t="s">
        <v>270</v>
      </c>
      <c r="K313" s="4">
        <v>5000000</v>
      </c>
      <c r="L313" s="41">
        <v>77.813999999999993</v>
      </c>
      <c r="M313" s="4">
        <v>3890700</v>
      </c>
      <c r="N313" s="4">
        <v>5000000</v>
      </c>
      <c r="O313" s="4">
        <v>4999901</v>
      </c>
      <c r="P313" s="4">
        <v>0</v>
      </c>
      <c r="Q313" s="4">
        <v>-85</v>
      </c>
      <c r="R313" s="4">
        <v>0</v>
      </c>
      <c r="S313" s="4">
        <v>0</v>
      </c>
      <c r="T313" s="23">
        <v>2.52</v>
      </c>
      <c r="U313" s="23">
        <v>2.5179999999999998</v>
      </c>
      <c r="V313" s="5" t="s">
        <v>3409</v>
      </c>
      <c r="W313" s="4">
        <v>20300</v>
      </c>
      <c r="X313" s="4">
        <v>126000</v>
      </c>
      <c r="Y313" s="14">
        <v>44496</v>
      </c>
      <c r="Z313" s="14">
        <v>48521</v>
      </c>
      <c r="AA313" s="2"/>
      <c r="AB313" s="69" t="s">
        <v>3892</v>
      </c>
      <c r="AC313" s="5" t="s">
        <v>4178</v>
      </c>
      <c r="AD313" s="2"/>
      <c r="AE313" s="14">
        <v>48155</v>
      </c>
      <c r="AF313" s="23">
        <v>100</v>
      </c>
      <c r="AG313" s="6"/>
      <c r="AH313" s="5" t="s">
        <v>1209</v>
      </c>
      <c r="AI313" s="5" t="s">
        <v>856</v>
      </c>
      <c r="AJ313" s="5" t="s">
        <v>2</v>
      </c>
      <c r="AK313" s="21" t="s">
        <v>2</v>
      </c>
      <c r="AL313" s="72" t="s">
        <v>3894</v>
      </c>
      <c r="AM313" s="54" t="s">
        <v>4179</v>
      </c>
      <c r="AN313" s="34" t="s">
        <v>512</v>
      </c>
    </row>
    <row r="314" spans="2:40" x14ac:dyDescent="0.3">
      <c r="B314" s="18" t="s">
        <v>1974</v>
      </c>
      <c r="C314" s="47" t="s">
        <v>1440</v>
      </c>
      <c r="D314" s="15" t="s">
        <v>856</v>
      </c>
      <c r="E314" s="68" t="s">
        <v>2</v>
      </c>
      <c r="F314" s="55" t="s">
        <v>2</v>
      </c>
      <c r="G314" s="40" t="s">
        <v>2745</v>
      </c>
      <c r="H314" s="71" t="s">
        <v>2745</v>
      </c>
      <c r="I314" s="67" t="s">
        <v>1414</v>
      </c>
      <c r="J314" s="73" t="s">
        <v>270</v>
      </c>
      <c r="K314" s="4">
        <v>5000000</v>
      </c>
      <c r="L314" s="41">
        <v>90.355000000000004</v>
      </c>
      <c r="M314" s="4">
        <v>4517750</v>
      </c>
      <c r="N314" s="4">
        <v>5000000</v>
      </c>
      <c r="O314" s="4">
        <v>5000000</v>
      </c>
      <c r="P314" s="4">
        <v>0</v>
      </c>
      <c r="Q314" s="4">
        <v>0</v>
      </c>
      <c r="R314" s="4">
        <v>0</v>
      </c>
      <c r="S314" s="4">
        <v>0</v>
      </c>
      <c r="T314" s="23">
        <v>3.07</v>
      </c>
      <c r="U314" s="23">
        <v>2.802</v>
      </c>
      <c r="V314" s="5" t="s">
        <v>268</v>
      </c>
      <c r="W314" s="4">
        <v>54151</v>
      </c>
      <c r="X314" s="4">
        <v>79308</v>
      </c>
      <c r="Y314" s="14">
        <v>44608</v>
      </c>
      <c r="Z314" s="14">
        <v>46807</v>
      </c>
      <c r="AA314" s="2"/>
      <c r="AB314" s="69" t="s">
        <v>3892</v>
      </c>
      <c r="AC314" s="5" t="s">
        <v>4178</v>
      </c>
      <c r="AD314" s="2"/>
      <c r="AE314" s="14">
        <v>46442</v>
      </c>
      <c r="AF314" s="23">
        <v>100</v>
      </c>
      <c r="AG314" s="6"/>
      <c r="AH314" s="5" t="s">
        <v>1209</v>
      </c>
      <c r="AI314" s="5" t="s">
        <v>856</v>
      </c>
      <c r="AJ314" s="5" t="s">
        <v>2</v>
      </c>
      <c r="AK314" s="21" t="s">
        <v>2</v>
      </c>
      <c r="AL314" s="72" t="s">
        <v>3894</v>
      </c>
      <c r="AM314" s="54" t="s">
        <v>4179</v>
      </c>
      <c r="AN314" s="34" t="s">
        <v>512</v>
      </c>
    </row>
    <row r="315" spans="2:40" x14ac:dyDescent="0.3">
      <c r="B315" s="18" t="s">
        <v>3108</v>
      </c>
      <c r="C315" s="47" t="s">
        <v>3451</v>
      </c>
      <c r="D315" s="15" t="s">
        <v>858</v>
      </c>
      <c r="E315" s="68" t="s">
        <v>2</v>
      </c>
      <c r="F315" s="55" t="s">
        <v>2</v>
      </c>
      <c r="G315" s="40" t="s">
        <v>2745</v>
      </c>
      <c r="H315" s="71" t="s">
        <v>2745</v>
      </c>
      <c r="I315" s="67" t="s">
        <v>3660</v>
      </c>
      <c r="J315" s="73" t="s">
        <v>270</v>
      </c>
      <c r="K315" s="4">
        <v>4993200</v>
      </c>
      <c r="L315" s="41">
        <v>98.65</v>
      </c>
      <c r="M315" s="4">
        <v>4932500</v>
      </c>
      <c r="N315" s="4">
        <v>5000000</v>
      </c>
      <c r="O315" s="4">
        <v>4998452</v>
      </c>
      <c r="P315" s="4">
        <v>0</v>
      </c>
      <c r="Q315" s="4">
        <v>1406</v>
      </c>
      <c r="R315" s="4">
        <v>0</v>
      </c>
      <c r="S315" s="4">
        <v>0</v>
      </c>
      <c r="T315" s="23">
        <v>3.65</v>
      </c>
      <c r="U315" s="23">
        <v>3.68</v>
      </c>
      <c r="V315" s="5" t="s">
        <v>1916</v>
      </c>
      <c r="W315" s="4">
        <v>80097</v>
      </c>
      <c r="X315" s="4">
        <v>182500</v>
      </c>
      <c r="Y315" s="14">
        <v>43480</v>
      </c>
      <c r="Z315" s="14">
        <v>45314</v>
      </c>
      <c r="AA315" s="2"/>
      <c r="AB315" s="69" t="s">
        <v>3892</v>
      </c>
      <c r="AC315" s="5" t="s">
        <v>4178</v>
      </c>
      <c r="AD315" s="2"/>
      <c r="AE315" s="14">
        <v>45283</v>
      </c>
      <c r="AF315" s="23">
        <v>100</v>
      </c>
      <c r="AG315" s="6"/>
      <c r="AH315" s="5" t="s">
        <v>2</v>
      </c>
      <c r="AI315" s="5" t="s">
        <v>858</v>
      </c>
      <c r="AJ315" s="5" t="s">
        <v>2</v>
      </c>
      <c r="AK315" s="21" t="s">
        <v>2</v>
      </c>
      <c r="AL315" s="72" t="s">
        <v>3894</v>
      </c>
      <c r="AM315" s="54" t="s">
        <v>4179</v>
      </c>
      <c r="AN315" s="34" t="s">
        <v>1170</v>
      </c>
    </row>
    <row r="316" spans="2:40" x14ac:dyDescent="0.3">
      <c r="B316" s="18" t="s">
        <v>548</v>
      </c>
      <c r="C316" s="47" t="s">
        <v>4244</v>
      </c>
      <c r="D316" s="15" t="s">
        <v>856</v>
      </c>
      <c r="E316" s="68" t="s">
        <v>2</v>
      </c>
      <c r="F316" s="55" t="s">
        <v>2</v>
      </c>
      <c r="G316" s="40" t="s">
        <v>2745</v>
      </c>
      <c r="H316" s="71" t="s">
        <v>2745</v>
      </c>
      <c r="I316" s="67" t="s">
        <v>1414</v>
      </c>
      <c r="J316" s="73" t="s">
        <v>270</v>
      </c>
      <c r="K316" s="4">
        <v>5000000</v>
      </c>
      <c r="L316" s="41">
        <v>87.32</v>
      </c>
      <c r="M316" s="4">
        <v>4366000</v>
      </c>
      <c r="N316" s="4">
        <v>5000000</v>
      </c>
      <c r="O316" s="4">
        <v>4999854</v>
      </c>
      <c r="P316" s="4">
        <v>0</v>
      </c>
      <c r="Q316" s="4">
        <v>-75</v>
      </c>
      <c r="R316" s="4">
        <v>0</v>
      </c>
      <c r="S316" s="4">
        <v>0</v>
      </c>
      <c r="T316" s="23">
        <v>1.1220000000000001</v>
      </c>
      <c r="U316" s="23">
        <v>1.1200000000000001</v>
      </c>
      <c r="V316" s="5" t="s">
        <v>1916</v>
      </c>
      <c r="W316" s="4">
        <v>23843</v>
      </c>
      <c r="X316" s="4">
        <v>56100</v>
      </c>
      <c r="Y316" s="14">
        <v>44217</v>
      </c>
      <c r="Z316" s="14">
        <v>46415</v>
      </c>
      <c r="AA316" s="2"/>
      <c r="AB316" s="69" t="s">
        <v>3892</v>
      </c>
      <c r="AC316" s="5" t="s">
        <v>4178</v>
      </c>
      <c r="AD316" s="2"/>
      <c r="AE316" s="14">
        <v>46050</v>
      </c>
      <c r="AF316" s="23">
        <v>100</v>
      </c>
      <c r="AG316" s="6"/>
      <c r="AH316" s="5" t="s">
        <v>1209</v>
      </c>
      <c r="AI316" s="5" t="s">
        <v>856</v>
      </c>
      <c r="AJ316" s="5" t="s">
        <v>2</v>
      </c>
      <c r="AK316" s="21" t="s">
        <v>2</v>
      </c>
      <c r="AL316" s="72" t="s">
        <v>3894</v>
      </c>
      <c r="AM316" s="54" t="s">
        <v>4179</v>
      </c>
      <c r="AN316" s="34" t="s">
        <v>512</v>
      </c>
    </row>
    <row r="317" spans="2:40" x14ac:dyDescent="0.3">
      <c r="B317" s="18" t="s">
        <v>1681</v>
      </c>
      <c r="C317" s="47" t="s">
        <v>1682</v>
      </c>
      <c r="D317" s="15" t="s">
        <v>315</v>
      </c>
      <c r="E317" s="68" t="s">
        <v>2</v>
      </c>
      <c r="F317" s="55" t="s">
        <v>2</v>
      </c>
      <c r="G317" s="40" t="s">
        <v>3894</v>
      </c>
      <c r="H317" s="71" t="s">
        <v>3894</v>
      </c>
      <c r="I317" s="67" t="s">
        <v>3408</v>
      </c>
      <c r="J317" s="73" t="s">
        <v>270</v>
      </c>
      <c r="K317" s="4">
        <v>4998150</v>
      </c>
      <c r="L317" s="41">
        <v>95.947999999999993</v>
      </c>
      <c r="M317" s="4">
        <v>4797400</v>
      </c>
      <c r="N317" s="4">
        <v>5000000</v>
      </c>
      <c r="O317" s="4">
        <v>4999124</v>
      </c>
      <c r="P317" s="4">
        <v>0</v>
      </c>
      <c r="Q317" s="4">
        <v>259</v>
      </c>
      <c r="R317" s="4">
        <v>0</v>
      </c>
      <c r="S317" s="4">
        <v>0</v>
      </c>
      <c r="T317" s="23">
        <v>3.75</v>
      </c>
      <c r="U317" s="23">
        <v>3.7559999999999998</v>
      </c>
      <c r="V317" s="5" t="s">
        <v>268</v>
      </c>
      <c r="W317" s="4">
        <v>69271</v>
      </c>
      <c r="X317" s="4">
        <v>187500</v>
      </c>
      <c r="Y317" s="14">
        <v>43507</v>
      </c>
      <c r="Z317" s="14">
        <v>46071</v>
      </c>
      <c r="AA317" s="2"/>
      <c r="AB317" s="69" t="s">
        <v>3892</v>
      </c>
      <c r="AC317" s="5" t="s">
        <v>4178</v>
      </c>
      <c r="AD317" s="2"/>
      <c r="AE317" s="9">
        <v>45979</v>
      </c>
      <c r="AF317" s="23">
        <v>100</v>
      </c>
      <c r="AG317" s="6"/>
      <c r="AH317" s="5" t="s">
        <v>2</v>
      </c>
      <c r="AI317" s="5" t="s">
        <v>549</v>
      </c>
      <c r="AJ317" s="5" t="s">
        <v>1683</v>
      </c>
      <c r="AK317" s="21" t="s">
        <v>2</v>
      </c>
      <c r="AL317" s="72" t="s">
        <v>3894</v>
      </c>
      <c r="AM317" s="54" t="s">
        <v>4179</v>
      </c>
      <c r="AN317" s="34" t="s">
        <v>1650</v>
      </c>
    </row>
    <row r="318" spans="2:40" x14ac:dyDescent="0.3">
      <c r="B318" s="18" t="s">
        <v>2801</v>
      </c>
      <c r="C318" s="47" t="s">
        <v>3109</v>
      </c>
      <c r="D318" s="15" t="s">
        <v>2802</v>
      </c>
      <c r="E318" s="68" t="s">
        <v>2</v>
      </c>
      <c r="F318" s="55" t="s">
        <v>2</v>
      </c>
      <c r="G318" s="40" t="s">
        <v>2745</v>
      </c>
      <c r="H318" s="71" t="s">
        <v>3894</v>
      </c>
      <c r="I318" s="67" t="s">
        <v>3408</v>
      </c>
      <c r="J318" s="73" t="s">
        <v>270</v>
      </c>
      <c r="K318" s="4">
        <v>10228125</v>
      </c>
      <c r="L318" s="41">
        <v>92.671999999999997</v>
      </c>
      <c r="M318" s="4">
        <v>9267200</v>
      </c>
      <c r="N318" s="4">
        <v>10000000</v>
      </c>
      <c r="O318" s="4">
        <v>10132437</v>
      </c>
      <c r="P318" s="4">
        <v>0</v>
      </c>
      <c r="Q318" s="4">
        <v>-38229</v>
      </c>
      <c r="R318" s="4">
        <v>0</v>
      </c>
      <c r="S318" s="4">
        <v>0</v>
      </c>
      <c r="T318" s="23">
        <v>2.85</v>
      </c>
      <c r="U318" s="23">
        <v>2.4300000000000002</v>
      </c>
      <c r="V318" s="5" t="s">
        <v>1916</v>
      </c>
      <c r="W318" s="4">
        <v>121917</v>
      </c>
      <c r="X318" s="4">
        <v>285000</v>
      </c>
      <c r="Y318" s="14">
        <v>43985</v>
      </c>
      <c r="Z318" s="14">
        <v>46230</v>
      </c>
      <c r="AA318" s="2"/>
      <c r="AB318" s="69" t="s">
        <v>3892</v>
      </c>
      <c r="AC318" s="5" t="s">
        <v>4178</v>
      </c>
      <c r="AD318" s="2"/>
      <c r="AE318" s="14">
        <v>46139</v>
      </c>
      <c r="AF318" s="23">
        <v>100</v>
      </c>
      <c r="AG318" s="14">
        <v>46139</v>
      </c>
      <c r="AH318" s="5" t="s">
        <v>550</v>
      </c>
      <c r="AI318" s="5" t="s">
        <v>2335</v>
      </c>
      <c r="AJ318" s="5" t="s">
        <v>1684</v>
      </c>
      <c r="AK318" s="21" t="s">
        <v>2</v>
      </c>
      <c r="AL318" s="72" t="s">
        <v>3894</v>
      </c>
      <c r="AM318" s="54" t="s">
        <v>4179</v>
      </c>
      <c r="AN318" s="34" t="s">
        <v>1650</v>
      </c>
    </row>
    <row r="319" spans="2:40" x14ac:dyDescent="0.3">
      <c r="B319" s="18" t="s">
        <v>3942</v>
      </c>
      <c r="C319" s="47" t="s">
        <v>3452</v>
      </c>
      <c r="D319" s="15" t="s">
        <v>4245</v>
      </c>
      <c r="E319" s="68" t="s">
        <v>2</v>
      </c>
      <c r="F319" s="55" t="s">
        <v>2</v>
      </c>
      <c r="G319" s="40" t="s">
        <v>2745</v>
      </c>
      <c r="H319" s="71" t="s">
        <v>825</v>
      </c>
      <c r="I319" s="67" t="s">
        <v>8</v>
      </c>
      <c r="J319" s="73" t="s">
        <v>270</v>
      </c>
      <c r="K319" s="4">
        <v>1935000</v>
      </c>
      <c r="L319" s="41">
        <v>92.715000000000003</v>
      </c>
      <c r="M319" s="4">
        <v>1854300</v>
      </c>
      <c r="N319" s="4">
        <v>2000000</v>
      </c>
      <c r="O319" s="4">
        <v>1854300</v>
      </c>
      <c r="P319" s="4">
        <v>-85038</v>
      </c>
      <c r="Q319" s="4">
        <v>4338</v>
      </c>
      <c r="R319" s="4">
        <v>0</v>
      </c>
      <c r="S319" s="4">
        <v>0</v>
      </c>
      <c r="T319" s="23">
        <v>5.125</v>
      </c>
      <c r="U319" s="23">
        <v>5.6870000000000003</v>
      </c>
      <c r="V319" s="5" t="s">
        <v>1916</v>
      </c>
      <c r="W319" s="4">
        <v>47264</v>
      </c>
      <c r="X319" s="4">
        <v>51250</v>
      </c>
      <c r="Y319" s="14">
        <v>44720</v>
      </c>
      <c r="Z319" s="14">
        <v>47314</v>
      </c>
      <c r="AA319" s="2"/>
      <c r="AB319" s="69" t="s">
        <v>3892</v>
      </c>
      <c r="AC319" s="5" t="s">
        <v>4178</v>
      </c>
      <c r="AD319" s="2"/>
      <c r="AE319" s="14">
        <v>45488</v>
      </c>
      <c r="AF319" s="23">
        <v>102.563</v>
      </c>
      <c r="AG319" s="6"/>
      <c r="AH319" s="5" t="s">
        <v>2</v>
      </c>
      <c r="AI319" s="5" t="s">
        <v>3110</v>
      </c>
      <c r="AJ319" s="5" t="s">
        <v>824</v>
      </c>
      <c r="AK319" s="21" t="s">
        <v>2</v>
      </c>
      <c r="AL319" s="72" t="s">
        <v>3894</v>
      </c>
      <c r="AM319" s="54" t="s">
        <v>4179</v>
      </c>
      <c r="AN319" s="34" t="s">
        <v>525</v>
      </c>
    </row>
    <row r="320" spans="2:40" x14ac:dyDescent="0.3">
      <c r="B320" s="18" t="s">
        <v>551</v>
      </c>
      <c r="C320" s="47" t="s">
        <v>1975</v>
      </c>
      <c r="D320" s="15" t="s">
        <v>3453</v>
      </c>
      <c r="E320" s="68" t="s">
        <v>2</v>
      </c>
      <c r="F320" s="55" t="s">
        <v>2</v>
      </c>
      <c r="G320" s="40" t="s">
        <v>2</v>
      </c>
      <c r="H320" s="71" t="s">
        <v>3894</v>
      </c>
      <c r="I320" s="67" t="s">
        <v>3408</v>
      </c>
      <c r="J320" s="73" t="s">
        <v>2</v>
      </c>
      <c r="K320" s="4">
        <v>5000000</v>
      </c>
      <c r="L320" s="41">
        <v>96.191000000000003</v>
      </c>
      <c r="M320" s="4">
        <v>4809550</v>
      </c>
      <c r="N320" s="4">
        <v>5000000</v>
      </c>
      <c r="O320" s="4">
        <v>5000000</v>
      </c>
      <c r="P320" s="4">
        <v>0</v>
      </c>
      <c r="Q320" s="4">
        <v>0</v>
      </c>
      <c r="R320" s="4">
        <v>0</v>
      </c>
      <c r="S320" s="4">
        <v>0</v>
      </c>
      <c r="T320" s="23">
        <v>3.17</v>
      </c>
      <c r="U320" s="23">
        <v>3.17</v>
      </c>
      <c r="V320" s="5" t="s">
        <v>3898</v>
      </c>
      <c r="W320" s="4">
        <v>6604</v>
      </c>
      <c r="X320" s="4">
        <v>158500</v>
      </c>
      <c r="Y320" s="14">
        <v>43185</v>
      </c>
      <c r="Z320" s="14">
        <v>45642</v>
      </c>
      <c r="AA320" s="2"/>
      <c r="AB320" s="69" t="s">
        <v>2783</v>
      </c>
      <c r="AC320" s="5" t="s">
        <v>2</v>
      </c>
      <c r="AD320" s="2"/>
      <c r="AE320" s="10"/>
      <c r="AF320" s="23"/>
      <c r="AG320" s="10"/>
      <c r="AH320" s="5" t="s">
        <v>316</v>
      </c>
      <c r="AI320" s="5" t="s">
        <v>3453</v>
      </c>
      <c r="AJ320" s="5" t="s">
        <v>2</v>
      </c>
      <c r="AK320" s="21" t="s">
        <v>2</v>
      </c>
      <c r="AL320" s="72" t="s">
        <v>3894</v>
      </c>
      <c r="AM320" s="54" t="s">
        <v>4179</v>
      </c>
      <c r="AN320" s="34" t="s">
        <v>317</v>
      </c>
    </row>
    <row r="321" spans="2:40" x14ac:dyDescent="0.3">
      <c r="B321" s="18" t="s">
        <v>1976</v>
      </c>
      <c r="C321" s="47" t="s">
        <v>3454</v>
      </c>
      <c r="D321" s="15" t="s">
        <v>67</v>
      </c>
      <c r="E321" s="68" t="s">
        <v>2</v>
      </c>
      <c r="F321" s="55" t="s">
        <v>2</v>
      </c>
      <c r="G321" s="40" t="s">
        <v>2745</v>
      </c>
      <c r="H321" s="71" t="s">
        <v>2745</v>
      </c>
      <c r="I321" s="67" t="s">
        <v>1414</v>
      </c>
      <c r="J321" s="73" t="s">
        <v>270</v>
      </c>
      <c r="K321" s="4">
        <v>10733200</v>
      </c>
      <c r="L321" s="41">
        <v>86.927000000000007</v>
      </c>
      <c r="M321" s="4">
        <v>8692700</v>
      </c>
      <c r="N321" s="4">
        <v>10000000</v>
      </c>
      <c r="O321" s="4">
        <v>10554984</v>
      </c>
      <c r="P321" s="4">
        <v>0</v>
      </c>
      <c r="Q321" s="4">
        <v>-70625</v>
      </c>
      <c r="R321" s="4">
        <v>0</v>
      </c>
      <c r="S321" s="4">
        <v>0</v>
      </c>
      <c r="T321" s="23">
        <v>3.25</v>
      </c>
      <c r="U321" s="23">
        <v>2.3980000000000001</v>
      </c>
      <c r="V321" s="5" t="s">
        <v>3409</v>
      </c>
      <c r="W321" s="4">
        <v>41528</v>
      </c>
      <c r="X321" s="4">
        <v>325000</v>
      </c>
      <c r="Y321" s="14">
        <v>43985</v>
      </c>
      <c r="Z321" s="14">
        <v>47618</v>
      </c>
      <c r="AA321" s="2"/>
      <c r="AB321" s="69" t="s">
        <v>3892</v>
      </c>
      <c r="AC321" s="5" t="s">
        <v>4178</v>
      </c>
      <c r="AD321" s="2"/>
      <c r="AE321" s="14">
        <v>47529</v>
      </c>
      <c r="AF321" s="23">
        <v>100</v>
      </c>
      <c r="AG321" s="9">
        <v>47529</v>
      </c>
      <c r="AH321" s="5" t="s">
        <v>2</v>
      </c>
      <c r="AI321" s="5" t="s">
        <v>3943</v>
      </c>
      <c r="AJ321" s="5" t="s">
        <v>824</v>
      </c>
      <c r="AK321" s="21" t="s">
        <v>2</v>
      </c>
      <c r="AL321" s="72" t="s">
        <v>3894</v>
      </c>
      <c r="AM321" s="54" t="s">
        <v>4179</v>
      </c>
      <c r="AN321" s="34" t="s">
        <v>512</v>
      </c>
    </row>
    <row r="322" spans="2:40" x14ac:dyDescent="0.3">
      <c r="B322" s="18" t="s">
        <v>3111</v>
      </c>
      <c r="C322" s="47" t="s">
        <v>4246</v>
      </c>
      <c r="D322" s="15" t="s">
        <v>1685</v>
      </c>
      <c r="E322" s="68" t="s">
        <v>2</v>
      </c>
      <c r="F322" s="55" t="s">
        <v>2</v>
      </c>
      <c r="G322" s="40" t="s">
        <v>2745</v>
      </c>
      <c r="H322" s="71" t="s">
        <v>2745</v>
      </c>
      <c r="I322" s="67" t="s">
        <v>1414</v>
      </c>
      <c r="J322" s="73" t="s">
        <v>270</v>
      </c>
      <c r="K322" s="4">
        <v>5313850</v>
      </c>
      <c r="L322" s="41">
        <v>91.108999999999995</v>
      </c>
      <c r="M322" s="4">
        <v>4555450</v>
      </c>
      <c r="N322" s="4">
        <v>5000000</v>
      </c>
      <c r="O322" s="4">
        <v>5190126</v>
      </c>
      <c r="P322" s="4">
        <v>0</v>
      </c>
      <c r="Q322" s="4">
        <v>-48608</v>
      </c>
      <c r="R322" s="4">
        <v>0</v>
      </c>
      <c r="S322" s="4">
        <v>0</v>
      </c>
      <c r="T322" s="23">
        <v>2.35</v>
      </c>
      <c r="U322" s="23">
        <v>1.3180000000000001</v>
      </c>
      <c r="V322" s="5" t="s">
        <v>1916</v>
      </c>
      <c r="W322" s="4">
        <v>54181</v>
      </c>
      <c r="X322" s="4">
        <v>117500</v>
      </c>
      <c r="Y322" s="14">
        <v>43985</v>
      </c>
      <c r="Z322" s="14">
        <v>46402</v>
      </c>
      <c r="AA322" s="2"/>
      <c r="AB322" s="69" t="s">
        <v>3892</v>
      </c>
      <c r="AC322" s="5" t="s">
        <v>4178</v>
      </c>
      <c r="AD322" s="2"/>
      <c r="AE322" s="14">
        <v>46310</v>
      </c>
      <c r="AF322" s="23">
        <v>100</v>
      </c>
      <c r="AG322" s="14">
        <v>46310</v>
      </c>
      <c r="AH322" s="5" t="s">
        <v>2336</v>
      </c>
      <c r="AI322" s="5" t="s">
        <v>1685</v>
      </c>
      <c r="AJ322" s="5" t="s">
        <v>2</v>
      </c>
      <c r="AK322" s="21" t="s">
        <v>2</v>
      </c>
      <c r="AL322" s="72" t="s">
        <v>3894</v>
      </c>
      <c r="AM322" s="54" t="s">
        <v>4179</v>
      </c>
      <c r="AN322" s="34" t="s">
        <v>512</v>
      </c>
    </row>
    <row r="323" spans="2:40" x14ac:dyDescent="0.3">
      <c r="B323" s="18" t="s">
        <v>4247</v>
      </c>
      <c r="C323" s="47" t="s">
        <v>3944</v>
      </c>
      <c r="D323" s="15" t="s">
        <v>4248</v>
      </c>
      <c r="E323" s="68" t="s">
        <v>2</v>
      </c>
      <c r="F323" s="55" t="s">
        <v>2</v>
      </c>
      <c r="G323" s="40" t="s">
        <v>2745</v>
      </c>
      <c r="H323" s="71" t="s">
        <v>2745</v>
      </c>
      <c r="I323" s="67" t="s">
        <v>1414</v>
      </c>
      <c r="J323" s="73" t="s">
        <v>270</v>
      </c>
      <c r="K323" s="4">
        <v>4993850</v>
      </c>
      <c r="L323" s="41">
        <v>98.015000000000001</v>
      </c>
      <c r="M323" s="4">
        <v>4900750</v>
      </c>
      <c r="N323" s="4">
        <v>5000000</v>
      </c>
      <c r="O323" s="4">
        <v>4997380</v>
      </c>
      <c r="P323" s="4">
        <v>0</v>
      </c>
      <c r="Q323" s="4">
        <v>872</v>
      </c>
      <c r="R323" s="4">
        <v>0</v>
      </c>
      <c r="S323" s="4">
        <v>0</v>
      </c>
      <c r="T323" s="23">
        <v>3.95</v>
      </c>
      <c r="U323" s="23">
        <v>3.97</v>
      </c>
      <c r="V323" s="5" t="s">
        <v>3895</v>
      </c>
      <c r="W323" s="4">
        <v>41694</v>
      </c>
      <c r="X323" s="4">
        <v>197500</v>
      </c>
      <c r="Y323" s="14">
        <v>43375</v>
      </c>
      <c r="Z323" s="14">
        <v>45945</v>
      </c>
      <c r="AA323" s="2"/>
      <c r="AB323" s="69" t="s">
        <v>3892</v>
      </c>
      <c r="AC323" s="5" t="s">
        <v>4178</v>
      </c>
      <c r="AD323" s="2"/>
      <c r="AE323" s="14">
        <v>45884</v>
      </c>
      <c r="AF323" s="23">
        <v>100</v>
      </c>
      <c r="AG323" s="10"/>
      <c r="AH323" s="5" t="s">
        <v>2336</v>
      </c>
      <c r="AI323" s="5" t="s">
        <v>1685</v>
      </c>
      <c r="AJ323" s="5" t="s">
        <v>318</v>
      </c>
      <c r="AK323" s="21" t="s">
        <v>2</v>
      </c>
      <c r="AL323" s="72" t="s">
        <v>3894</v>
      </c>
      <c r="AM323" s="54" t="s">
        <v>4179</v>
      </c>
      <c r="AN323" s="34" t="s">
        <v>512</v>
      </c>
    </row>
    <row r="324" spans="2:40" x14ac:dyDescent="0.3">
      <c r="B324" s="18" t="s">
        <v>859</v>
      </c>
      <c r="C324" s="47" t="s">
        <v>3688</v>
      </c>
      <c r="D324" s="15" t="s">
        <v>1685</v>
      </c>
      <c r="E324" s="68" t="s">
        <v>2</v>
      </c>
      <c r="F324" s="55" t="s">
        <v>2</v>
      </c>
      <c r="G324" s="40" t="s">
        <v>2745</v>
      </c>
      <c r="H324" s="71" t="s">
        <v>2745</v>
      </c>
      <c r="I324" s="67" t="s">
        <v>1414</v>
      </c>
      <c r="J324" s="73" t="s">
        <v>270</v>
      </c>
      <c r="K324" s="4">
        <v>1495995</v>
      </c>
      <c r="L324" s="41">
        <v>94.411000000000001</v>
      </c>
      <c r="M324" s="4">
        <v>1416165</v>
      </c>
      <c r="N324" s="4">
        <v>1500000</v>
      </c>
      <c r="O324" s="4">
        <v>1497466</v>
      </c>
      <c r="P324" s="4">
        <v>0</v>
      </c>
      <c r="Q324" s="4">
        <v>546</v>
      </c>
      <c r="R324" s="4">
        <v>0</v>
      </c>
      <c r="S324" s="4">
        <v>0</v>
      </c>
      <c r="T324" s="23">
        <v>3.3</v>
      </c>
      <c r="U324" s="23">
        <v>3.343</v>
      </c>
      <c r="V324" s="5" t="s">
        <v>3895</v>
      </c>
      <c r="W324" s="4">
        <v>12375</v>
      </c>
      <c r="X324" s="4">
        <v>49500</v>
      </c>
      <c r="Y324" s="14">
        <v>43914</v>
      </c>
      <c r="Z324" s="14">
        <v>46478</v>
      </c>
      <c r="AA324" s="2"/>
      <c r="AB324" s="69" t="s">
        <v>3892</v>
      </c>
      <c r="AC324" s="5" t="s">
        <v>4178</v>
      </c>
      <c r="AD324" s="2"/>
      <c r="AE324" s="14">
        <v>46419</v>
      </c>
      <c r="AF324" s="23">
        <v>100</v>
      </c>
      <c r="AG324" s="6"/>
      <c r="AH324" s="5" t="s">
        <v>2336</v>
      </c>
      <c r="AI324" s="5" t="s">
        <v>1685</v>
      </c>
      <c r="AJ324" s="5" t="s">
        <v>2</v>
      </c>
      <c r="AK324" s="21" t="s">
        <v>2</v>
      </c>
      <c r="AL324" s="72" t="s">
        <v>3894</v>
      </c>
      <c r="AM324" s="54" t="s">
        <v>4179</v>
      </c>
      <c r="AN324" s="34" t="s">
        <v>512</v>
      </c>
    </row>
    <row r="325" spans="2:40" x14ac:dyDescent="0.3">
      <c r="B325" s="18" t="s">
        <v>1977</v>
      </c>
      <c r="C325" s="47" t="s">
        <v>1978</v>
      </c>
      <c r="D325" s="15" t="s">
        <v>3112</v>
      </c>
      <c r="E325" s="68" t="s">
        <v>2</v>
      </c>
      <c r="F325" s="55" t="s">
        <v>2</v>
      </c>
      <c r="G325" s="40" t="s">
        <v>3894</v>
      </c>
      <c r="H325" s="71" t="s">
        <v>3894</v>
      </c>
      <c r="I325" s="67" t="s">
        <v>3408</v>
      </c>
      <c r="J325" s="73" t="s">
        <v>270</v>
      </c>
      <c r="K325" s="4">
        <v>5004800</v>
      </c>
      <c r="L325" s="41">
        <v>96.081000000000003</v>
      </c>
      <c r="M325" s="4">
        <v>4804050</v>
      </c>
      <c r="N325" s="4">
        <v>5000000</v>
      </c>
      <c r="O325" s="4">
        <v>5014471</v>
      </c>
      <c r="P325" s="4">
        <v>0</v>
      </c>
      <c r="Q325" s="4">
        <v>9671</v>
      </c>
      <c r="R325" s="4">
        <v>0</v>
      </c>
      <c r="S325" s="4">
        <v>0</v>
      </c>
      <c r="T325" s="23">
        <v>5.3319999999999999</v>
      </c>
      <c r="U325" s="23">
        <v>5.0060000000000002</v>
      </c>
      <c r="V325" s="5" t="s">
        <v>268</v>
      </c>
      <c r="W325" s="4">
        <v>93310</v>
      </c>
      <c r="X325" s="4">
        <v>0</v>
      </c>
      <c r="Y325" s="14">
        <v>44791</v>
      </c>
      <c r="Z325" s="14">
        <v>48816</v>
      </c>
      <c r="AA325" s="2"/>
      <c r="AB325" s="69" t="s">
        <v>3892</v>
      </c>
      <c r="AC325" s="5" t="s">
        <v>4178</v>
      </c>
      <c r="AD325" s="2"/>
      <c r="AE325" s="14">
        <v>48451</v>
      </c>
      <c r="AF325" s="23">
        <v>100</v>
      </c>
      <c r="AG325" s="10"/>
      <c r="AH325" s="5" t="s">
        <v>1210</v>
      </c>
      <c r="AI325" s="5" t="s">
        <v>3112</v>
      </c>
      <c r="AJ325" s="5" t="s">
        <v>2</v>
      </c>
      <c r="AK325" s="21" t="s">
        <v>2</v>
      </c>
      <c r="AL325" s="72" t="s">
        <v>825</v>
      </c>
      <c r="AM325" s="54" t="s">
        <v>4179</v>
      </c>
      <c r="AN325" s="34" t="s">
        <v>1650</v>
      </c>
    </row>
    <row r="326" spans="2:40" x14ac:dyDescent="0.3">
      <c r="B326" s="18" t="s">
        <v>3945</v>
      </c>
      <c r="C326" s="47" t="s">
        <v>2337</v>
      </c>
      <c r="D326" s="15" t="s">
        <v>3112</v>
      </c>
      <c r="E326" s="68" t="s">
        <v>2</v>
      </c>
      <c r="F326" s="55" t="s">
        <v>2</v>
      </c>
      <c r="G326" s="40" t="s">
        <v>2</v>
      </c>
      <c r="H326" s="71" t="s">
        <v>2745</v>
      </c>
      <c r="I326" s="67" t="s">
        <v>1414</v>
      </c>
      <c r="J326" s="73" t="s">
        <v>270</v>
      </c>
      <c r="K326" s="4">
        <v>3746513</v>
      </c>
      <c r="L326" s="41">
        <v>96.055999999999997</v>
      </c>
      <c r="M326" s="4">
        <v>3602100</v>
      </c>
      <c r="N326" s="4">
        <v>3750000</v>
      </c>
      <c r="O326" s="4">
        <v>3748864</v>
      </c>
      <c r="P326" s="4">
        <v>0</v>
      </c>
      <c r="Q326" s="4">
        <v>705</v>
      </c>
      <c r="R326" s="4">
        <v>0</v>
      </c>
      <c r="S326" s="4">
        <v>0</v>
      </c>
      <c r="T326" s="23">
        <v>2.5</v>
      </c>
      <c r="U326" s="23">
        <v>2.52</v>
      </c>
      <c r="V326" s="5" t="s">
        <v>1916</v>
      </c>
      <c r="W326" s="4">
        <v>41146</v>
      </c>
      <c r="X326" s="4">
        <v>93750</v>
      </c>
      <c r="Y326" s="14">
        <v>43664</v>
      </c>
      <c r="Z326" s="14">
        <v>45496</v>
      </c>
      <c r="AA326" s="2"/>
      <c r="AB326" s="69" t="s">
        <v>3892</v>
      </c>
      <c r="AC326" s="5" t="s">
        <v>4178</v>
      </c>
      <c r="AD326" s="2"/>
      <c r="AE326" s="10"/>
      <c r="AF326" s="23"/>
      <c r="AG326" s="6"/>
      <c r="AH326" s="5" t="s">
        <v>1210</v>
      </c>
      <c r="AI326" s="5" t="s">
        <v>3112</v>
      </c>
      <c r="AJ326" s="5" t="s">
        <v>2</v>
      </c>
      <c r="AK326" s="21" t="s">
        <v>2</v>
      </c>
      <c r="AL326" s="72" t="s">
        <v>3894</v>
      </c>
      <c r="AM326" s="54" t="s">
        <v>4179</v>
      </c>
      <c r="AN326" s="34" t="s">
        <v>512</v>
      </c>
    </row>
    <row r="327" spans="2:40" x14ac:dyDescent="0.3">
      <c r="B327" s="18" t="s">
        <v>552</v>
      </c>
      <c r="C327" s="47" t="s">
        <v>319</v>
      </c>
      <c r="D327" s="15" t="s">
        <v>1441</v>
      </c>
      <c r="E327" s="68" t="s">
        <v>2</v>
      </c>
      <c r="F327" s="55" t="s">
        <v>2</v>
      </c>
      <c r="G327" s="40" t="s">
        <v>2745</v>
      </c>
      <c r="H327" s="71" t="s">
        <v>3894</v>
      </c>
      <c r="I327" s="67" t="s">
        <v>1164</v>
      </c>
      <c r="J327" s="73" t="s">
        <v>270</v>
      </c>
      <c r="K327" s="4">
        <v>5039770</v>
      </c>
      <c r="L327" s="41">
        <v>98.463999999999999</v>
      </c>
      <c r="M327" s="4">
        <v>4923200</v>
      </c>
      <c r="N327" s="4">
        <v>5000000</v>
      </c>
      <c r="O327" s="4">
        <v>5017678</v>
      </c>
      <c r="P327" s="4">
        <v>0</v>
      </c>
      <c r="Q327" s="4">
        <v>-6356</v>
      </c>
      <c r="R327" s="4">
        <v>0</v>
      </c>
      <c r="S327" s="4">
        <v>0</v>
      </c>
      <c r="T327" s="23">
        <v>4.5999999999999996</v>
      </c>
      <c r="U327" s="23">
        <v>4.4539999999999997</v>
      </c>
      <c r="V327" s="5" t="s">
        <v>3409</v>
      </c>
      <c r="W327" s="4">
        <v>38333</v>
      </c>
      <c r="X327" s="4">
        <v>230000</v>
      </c>
      <c r="Y327" s="14">
        <v>43553</v>
      </c>
      <c r="Z327" s="14">
        <v>45962</v>
      </c>
      <c r="AA327" s="2"/>
      <c r="AB327" s="69" t="s">
        <v>3892</v>
      </c>
      <c r="AC327" s="5" t="s">
        <v>4178</v>
      </c>
      <c r="AD327" s="2"/>
      <c r="AE327" s="14">
        <v>45901</v>
      </c>
      <c r="AF327" s="23">
        <v>100</v>
      </c>
      <c r="AG327" s="9">
        <v>45901</v>
      </c>
      <c r="AH327" s="5" t="s">
        <v>68</v>
      </c>
      <c r="AI327" s="5" t="s">
        <v>1441</v>
      </c>
      <c r="AJ327" s="5" t="s">
        <v>2</v>
      </c>
      <c r="AK327" s="21" t="s">
        <v>2</v>
      </c>
      <c r="AL327" s="72" t="s">
        <v>3894</v>
      </c>
      <c r="AM327" s="54" t="s">
        <v>4179</v>
      </c>
      <c r="AN327" s="34" t="s">
        <v>828</v>
      </c>
    </row>
    <row r="328" spans="2:40" x14ac:dyDescent="0.3">
      <c r="B328" s="18" t="s">
        <v>1686</v>
      </c>
      <c r="C328" s="47" t="s">
        <v>69</v>
      </c>
      <c r="D328" s="15" t="s">
        <v>3455</v>
      </c>
      <c r="E328" s="68" t="s">
        <v>2</v>
      </c>
      <c r="F328" s="55" t="s">
        <v>2</v>
      </c>
      <c r="G328" s="40" t="s">
        <v>2</v>
      </c>
      <c r="H328" s="71" t="s">
        <v>2745</v>
      </c>
      <c r="I328" s="67" t="s">
        <v>287</v>
      </c>
      <c r="J328" s="73" t="s">
        <v>2</v>
      </c>
      <c r="K328" s="4">
        <v>7968874</v>
      </c>
      <c r="L328" s="41">
        <v>77.090999999999994</v>
      </c>
      <c r="M328" s="4">
        <v>6321462</v>
      </c>
      <c r="N328" s="4">
        <v>8200000</v>
      </c>
      <c r="O328" s="4">
        <v>7990668</v>
      </c>
      <c r="P328" s="4">
        <v>0</v>
      </c>
      <c r="Q328" s="4">
        <v>21794</v>
      </c>
      <c r="R328" s="4">
        <v>0</v>
      </c>
      <c r="S328" s="4">
        <v>0</v>
      </c>
      <c r="T328" s="23">
        <v>2.02</v>
      </c>
      <c r="U328" s="23">
        <v>2.37</v>
      </c>
      <c r="V328" s="5" t="s">
        <v>3898</v>
      </c>
      <c r="W328" s="4">
        <v>7362</v>
      </c>
      <c r="X328" s="4">
        <v>165640</v>
      </c>
      <c r="Y328" s="14">
        <v>44572</v>
      </c>
      <c r="Z328" s="14">
        <v>47832</v>
      </c>
      <c r="AA328" s="2"/>
      <c r="AB328" s="69" t="s">
        <v>1671</v>
      </c>
      <c r="AC328" s="5" t="s">
        <v>2</v>
      </c>
      <c r="AD328" s="2"/>
      <c r="AE328" s="10"/>
      <c r="AF328" s="23"/>
      <c r="AG328" s="10"/>
      <c r="AH328" s="5" t="s">
        <v>2338</v>
      </c>
      <c r="AI328" s="5" t="s">
        <v>3456</v>
      </c>
      <c r="AJ328" s="5" t="s">
        <v>3457</v>
      </c>
      <c r="AK328" s="21" t="s">
        <v>2</v>
      </c>
      <c r="AL328" s="72" t="s">
        <v>3894</v>
      </c>
      <c r="AM328" s="54" t="s">
        <v>4179</v>
      </c>
      <c r="AN328" s="34" t="s">
        <v>3946</v>
      </c>
    </row>
    <row r="329" spans="2:40" x14ac:dyDescent="0.3">
      <c r="B329" s="18" t="s">
        <v>2803</v>
      </c>
      <c r="C329" s="47" t="s">
        <v>2804</v>
      </c>
      <c r="D329" s="15" t="s">
        <v>1211</v>
      </c>
      <c r="E329" s="68" t="s">
        <v>2</v>
      </c>
      <c r="F329" s="55" t="s">
        <v>2</v>
      </c>
      <c r="G329" s="40" t="s">
        <v>2745</v>
      </c>
      <c r="H329" s="71" t="s">
        <v>2745</v>
      </c>
      <c r="I329" s="67" t="s">
        <v>287</v>
      </c>
      <c r="J329" s="73" t="s">
        <v>270</v>
      </c>
      <c r="K329" s="4">
        <v>3057423</v>
      </c>
      <c r="L329" s="41">
        <v>93.772000000000006</v>
      </c>
      <c r="M329" s="4">
        <v>2813160</v>
      </c>
      <c r="N329" s="4">
        <v>3000000</v>
      </c>
      <c r="O329" s="4">
        <v>3050837</v>
      </c>
      <c r="P329" s="4">
        <v>0</v>
      </c>
      <c r="Q329" s="4">
        <v>-6585</v>
      </c>
      <c r="R329" s="4">
        <v>0</v>
      </c>
      <c r="S329" s="4">
        <v>0</v>
      </c>
      <c r="T329" s="23">
        <v>3.75</v>
      </c>
      <c r="U329" s="23">
        <v>3.3420000000000001</v>
      </c>
      <c r="V329" s="5" t="s">
        <v>3895</v>
      </c>
      <c r="W329" s="4">
        <v>28125</v>
      </c>
      <c r="X329" s="4">
        <v>56250</v>
      </c>
      <c r="Y329" s="14">
        <v>44690</v>
      </c>
      <c r="Z329" s="14">
        <v>46661</v>
      </c>
      <c r="AA329" s="2"/>
      <c r="AB329" s="69" t="s">
        <v>3892</v>
      </c>
      <c r="AC329" s="5" t="s">
        <v>7</v>
      </c>
      <c r="AD329" s="2"/>
      <c r="AE329" s="9">
        <v>46569</v>
      </c>
      <c r="AF329" s="23">
        <v>100</v>
      </c>
      <c r="AG329" s="9">
        <v>46569</v>
      </c>
      <c r="AH329" s="5" t="s">
        <v>3689</v>
      </c>
      <c r="AI329" s="5" t="s">
        <v>1211</v>
      </c>
      <c r="AJ329" s="5" t="s">
        <v>2</v>
      </c>
      <c r="AK329" s="21" t="s">
        <v>2</v>
      </c>
      <c r="AL329" s="72" t="s">
        <v>3894</v>
      </c>
      <c r="AM329" s="54" t="s">
        <v>4179</v>
      </c>
      <c r="AN329" s="34" t="s">
        <v>819</v>
      </c>
    </row>
    <row r="330" spans="2:40" x14ac:dyDescent="0.3">
      <c r="B330" s="18" t="s">
        <v>4249</v>
      </c>
      <c r="C330" s="47" t="s">
        <v>3947</v>
      </c>
      <c r="D330" s="15" t="s">
        <v>3113</v>
      </c>
      <c r="E330" s="68" t="s">
        <v>2</v>
      </c>
      <c r="F330" s="55" t="s">
        <v>2</v>
      </c>
      <c r="G330" s="40" t="s">
        <v>2745</v>
      </c>
      <c r="H330" s="71" t="s">
        <v>3894</v>
      </c>
      <c r="I330" s="67" t="s">
        <v>1164</v>
      </c>
      <c r="J330" s="73" t="s">
        <v>270</v>
      </c>
      <c r="K330" s="4">
        <v>4997100</v>
      </c>
      <c r="L330" s="41">
        <v>97.457999999999998</v>
      </c>
      <c r="M330" s="4">
        <v>4872900</v>
      </c>
      <c r="N330" s="4">
        <v>5000000</v>
      </c>
      <c r="O330" s="4">
        <v>4997440</v>
      </c>
      <c r="P330" s="4">
        <v>0</v>
      </c>
      <c r="Q330" s="4">
        <v>340</v>
      </c>
      <c r="R330" s="4">
        <v>0</v>
      </c>
      <c r="S330" s="4">
        <v>0</v>
      </c>
      <c r="T330" s="23">
        <v>4.3499999999999996</v>
      </c>
      <c r="U330" s="23">
        <v>4.3630000000000004</v>
      </c>
      <c r="V330" s="5" t="s">
        <v>3409</v>
      </c>
      <c r="W330" s="4">
        <v>31417</v>
      </c>
      <c r="X330" s="4">
        <v>108750</v>
      </c>
      <c r="Y330" s="14">
        <v>44683</v>
      </c>
      <c r="Z330" s="14">
        <v>46516</v>
      </c>
      <c r="AA330" s="2"/>
      <c r="AB330" s="69" t="s">
        <v>3892</v>
      </c>
      <c r="AC330" s="5" t="s">
        <v>4178</v>
      </c>
      <c r="AD330" s="2"/>
      <c r="AE330" s="14">
        <v>46486</v>
      </c>
      <c r="AF330" s="23">
        <v>100</v>
      </c>
      <c r="AG330" s="6"/>
      <c r="AH330" s="5" t="s">
        <v>1979</v>
      </c>
      <c r="AI330" s="5" t="s">
        <v>3113</v>
      </c>
      <c r="AJ330" s="5" t="s">
        <v>2</v>
      </c>
      <c r="AK330" s="21" t="s">
        <v>2</v>
      </c>
      <c r="AL330" s="72" t="s">
        <v>3894</v>
      </c>
      <c r="AM330" s="54" t="s">
        <v>4179</v>
      </c>
      <c r="AN330" s="34" t="s">
        <v>828</v>
      </c>
    </row>
    <row r="331" spans="2:40" x14ac:dyDescent="0.3">
      <c r="B331" s="18" t="s">
        <v>860</v>
      </c>
      <c r="C331" s="47" t="s">
        <v>1212</v>
      </c>
      <c r="D331" s="15" t="s">
        <v>1980</v>
      </c>
      <c r="E331" s="68" t="s">
        <v>2</v>
      </c>
      <c r="F331" s="55" t="s">
        <v>2</v>
      </c>
      <c r="G331" s="40" t="s">
        <v>2745</v>
      </c>
      <c r="H331" s="71" t="s">
        <v>3894</v>
      </c>
      <c r="I331" s="67" t="s">
        <v>1164</v>
      </c>
      <c r="J331" s="73" t="s">
        <v>270</v>
      </c>
      <c r="K331" s="4">
        <v>7042970</v>
      </c>
      <c r="L331" s="41">
        <v>97.268000000000001</v>
      </c>
      <c r="M331" s="4">
        <v>6808760</v>
      </c>
      <c r="N331" s="4">
        <v>7000000</v>
      </c>
      <c r="O331" s="4">
        <v>7011418</v>
      </c>
      <c r="P331" s="4">
        <v>0</v>
      </c>
      <c r="Q331" s="4">
        <v>-9166</v>
      </c>
      <c r="R331" s="4">
        <v>0</v>
      </c>
      <c r="S331" s="4">
        <v>0</v>
      </c>
      <c r="T331" s="23">
        <v>3.8</v>
      </c>
      <c r="U331" s="23">
        <v>3.6589999999999998</v>
      </c>
      <c r="V331" s="5" t="s">
        <v>3898</v>
      </c>
      <c r="W331" s="4">
        <v>22167</v>
      </c>
      <c r="X331" s="4">
        <v>266000</v>
      </c>
      <c r="Y331" s="14">
        <v>43616</v>
      </c>
      <c r="Z331" s="14">
        <v>45444</v>
      </c>
      <c r="AA331" s="2"/>
      <c r="AB331" s="69" t="s">
        <v>3892</v>
      </c>
      <c r="AC331" s="5" t="s">
        <v>4178</v>
      </c>
      <c r="AD331" s="2"/>
      <c r="AE331" s="14">
        <v>45352</v>
      </c>
      <c r="AF331" s="23">
        <v>100</v>
      </c>
      <c r="AG331" s="9">
        <v>45352</v>
      </c>
      <c r="AH331" s="5" t="s">
        <v>1687</v>
      </c>
      <c r="AI331" s="5" t="s">
        <v>1980</v>
      </c>
      <c r="AJ331" s="5" t="s">
        <v>2</v>
      </c>
      <c r="AK331" s="21" t="s">
        <v>2</v>
      </c>
      <c r="AL331" s="72" t="s">
        <v>3894</v>
      </c>
      <c r="AM331" s="54" t="s">
        <v>4179</v>
      </c>
      <c r="AN331" s="34" t="s">
        <v>828</v>
      </c>
    </row>
    <row r="332" spans="2:40" x14ac:dyDescent="0.3">
      <c r="B332" s="18" t="s">
        <v>1981</v>
      </c>
      <c r="C332" s="47" t="s">
        <v>2339</v>
      </c>
      <c r="D332" s="15" t="s">
        <v>2574</v>
      </c>
      <c r="E332" s="68" t="s">
        <v>2</v>
      </c>
      <c r="F332" s="55" t="s">
        <v>2</v>
      </c>
      <c r="G332" s="40" t="s">
        <v>2745</v>
      </c>
      <c r="H332" s="71" t="s">
        <v>3894</v>
      </c>
      <c r="I332" s="67" t="s">
        <v>1164</v>
      </c>
      <c r="J332" s="73" t="s">
        <v>270</v>
      </c>
      <c r="K332" s="4">
        <v>960000</v>
      </c>
      <c r="L332" s="41">
        <v>91.23</v>
      </c>
      <c r="M332" s="4">
        <v>912300</v>
      </c>
      <c r="N332" s="4">
        <v>1000000</v>
      </c>
      <c r="O332" s="4">
        <v>971296</v>
      </c>
      <c r="P332" s="4">
        <v>0</v>
      </c>
      <c r="Q332" s="4">
        <v>4892</v>
      </c>
      <c r="R332" s="4">
        <v>0</v>
      </c>
      <c r="S332" s="4">
        <v>0</v>
      </c>
      <c r="T332" s="23">
        <v>4.375</v>
      </c>
      <c r="U332" s="23">
        <v>5.0270000000000001</v>
      </c>
      <c r="V332" s="5" t="s">
        <v>1916</v>
      </c>
      <c r="W332" s="4">
        <v>20174</v>
      </c>
      <c r="X332" s="4">
        <v>43750</v>
      </c>
      <c r="Y332" s="14">
        <v>44055</v>
      </c>
      <c r="Z332" s="14">
        <v>46767</v>
      </c>
      <c r="AA332" s="2"/>
      <c r="AB332" s="69" t="s">
        <v>3892</v>
      </c>
      <c r="AC332" s="5" t="s">
        <v>4178</v>
      </c>
      <c r="AD332" s="2"/>
      <c r="AE332" s="9">
        <v>46675</v>
      </c>
      <c r="AF332" s="23">
        <v>100</v>
      </c>
      <c r="AG332" s="6"/>
      <c r="AH332" s="5" t="s">
        <v>1687</v>
      </c>
      <c r="AI332" s="5" t="s">
        <v>2574</v>
      </c>
      <c r="AJ332" s="5" t="s">
        <v>2</v>
      </c>
      <c r="AK332" s="21" t="s">
        <v>2</v>
      </c>
      <c r="AL332" s="72" t="s">
        <v>3894</v>
      </c>
      <c r="AM332" s="54" t="s">
        <v>4179</v>
      </c>
      <c r="AN332" s="34" t="s">
        <v>828</v>
      </c>
    </row>
    <row r="333" spans="2:40" x14ac:dyDescent="0.3">
      <c r="B333" s="18" t="s">
        <v>3114</v>
      </c>
      <c r="C333" s="47" t="s">
        <v>3690</v>
      </c>
      <c r="D333" s="15" t="s">
        <v>1213</v>
      </c>
      <c r="E333" s="68" t="s">
        <v>2</v>
      </c>
      <c r="F333" s="55" t="s">
        <v>2</v>
      </c>
      <c r="G333" s="40" t="s">
        <v>2745</v>
      </c>
      <c r="H333" s="71" t="s">
        <v>3894</v>
      </c>
      <c r="I333" s="67" t="s">
        <v>8</v>
      </c>
      <c r="J333" s="73" t="s">
        <v>270</v>
      </c>
      <c r="K333" s="4">
        <v>9990900</v>
      </c>
      <c r="L333" s="41">
        <v>91.284999999999997</v>
      </c>
      <c r="M333" s="4">
        <v>9128500</v>
      </c>
      <c r="N333" s="4">
        <v>10000000</v>
      </c>
      <c r="O333" s="4">
        <v>9991751</v>
      </c>
      <c r="P333" s="4">
        <v>0</v>
      </c>
      <c r="Q333" s="4">
        <v>851</v>
      </c>
      <c r="R333" s="4">
        <v>0</v>
      </c>
      <c r="S333" s="4">
        <v>0</v>
      </c>
      <c r="T333" s="23">
        <v>3.85</v>
      </c>
      <c r="U333" s="23">
        <v>3.8650000000000002</v>
      </c>
      <c r="V333" s="5" t="s">
        <v>3895</v>
      </c>
      <c r="W333" s="4">
        <v>91972</v>
      </c>
      <c r="X333" s="4">
        <v>192500</v>
      </c>
      <c r="Y333" s="14">
        <v>44651</v>
      </c>
      <c r="Z333" s="14">
        <v>47213</v>
      </c>
      <c r="AA333" s="2"/>
      <c r="AB333" s="69" t="s">
        <v>3892</v>
      </c>
      <c r="AC333" s="5" t="s">
        <v>4178</v>
      </c>
      <c r="AD333" s="2"/>
      <c r="AE333" s="14">
        <v>47154</v>
      </c>
      <c r="AF333" s="23">
        <v>100</v>
      </c>
      <c r="AG333" s="6"/>
      <c r="AH333" s="5" t="s">
        <v>2</v>
      </c>
      <c r="AI333" s="5" t="s">
        <v>1982</v>
      </c>
      <c r="AJ333" s="5" t="s">
        <v>824</v>
      </c>
      <c r="AK333" s="21" t="s">
        <v>2</v>
      </c>
      <c r="AL333" s="72" t="s">
        <v>3894</v>
      </c>
      <c r="AM333" s="54" t="s">
        <v>4179</v>
      </c>
      <c r="AN333" s="34" t="s">
        <v>1189</v>
      </c>
    </row>
    <row r="334" spans="2:40" x14ac:dyDescent="0.3">
      <c r="B334" s="18" t="s">
        <v>4250</v>
      </c>
      <c r="C334" s="47" t="s">
        <v>1983</v>
      </c>
      <c r="D334" s="15" t="s">
        <v>320</v>
      </c>
      <c r="E334" s="68" t="s">
        <v>2</v>
      </c>
      <c r="F334" s="55" t="s">
        <v>2</v>
      </c>
      <c r="G334" s="40" t="s">
        <v>2745</v>
      </c>
      <c r="H334" s="71" t="s">
        <v>3894</v>
      </c>
      <c r="I334" s="67" t="s">
        <v>8</v>
      </c>
      <c r="J334" s="73" t="s">
        <v>270</v>
      </c>
      <c r="K334" s="4">
        <v>3031560</v>
      </c>
      <c r="L334" s="41">
        <v>93.480999999999995</v>
      </c>
      <c r="M334" s="4">
        <v>2804430</v>
      </c>
      <c r="N334" s="4">
        <v>3000000</v>
      </c>
      <c r="O334" s="4">
        <v>3016639</v>
      </c>
      <c r="P334" s="4">
        <v>0</v>
      </c>
      <c r="Q334" s="4">
        <v>-4466</v>
      </c>
      <c r="R334" s="4">
        <v>0</v>
      </c>
      <c r="S334" s="4">
        <v>0</v>
      </c>
      <c r="T334" s="23">
        <v>3.35</v>
      </c>
      <c r="U334" s="23">
        <v>3.18</v>
      </c>
      <c r="V334" s="5" t="s">
        <v>10</v>
      </c>
      <c r="W334" s="4">
        <v>29592</v>
      </c>
      <c r="X334" s="4">
        <v>100500</v>
      </c>
      <c r="Y334" s="14">
        <v>43644</v>
      </c>
      <c r="Z334" s="14">
        <v>46280</v>
      </c>
      <c r="AA334" s="2"/>
      <c r="AB334" s="69" t="s">
        <v>3892</v>
      </c>
      <c r="AC334" s="5" t="s">
        <v>4178</v>
      </c>
      <c r="AD334" s="2"/>
      <c r="AE334" s="14">
        <v>46188</v>
      </c>
      <c r="AF334" s="23">
        <v>100</v>
      </c>
      <c r="AG334" s="9">
        <v>46188</v>
      </c>
      <c r="AH334" s="5" t="s">
        <v>3691</v>
      </c>
      <c r="AI334" s="5" t="s">
        <v>70</v>
      </c>
      <c r="AJ334" s="5" t="s">
        <v>824</v>
      </c>
      <c r="AK334" s="21" t="s">
        <v>2</v>
      </c>
      <c r="AL334" s="72" t="s">
        <v>3894</v>
      </c>
      <c r="AM334" s="54" t="s">
        <v>4179</v>
      </c>
      <c r="AN334" s="34" t="s">
        <v>1189</v>
      </c>
    </row>
    <row r="335" spans="2:40" x14ac:dyDescent="0.3">
      <c r="B335" s="18" t="s">
        <v>861</v>
      </c>
      <c r="C335" s="47" t="s">
        <v>4251</v>
      </c>
      <c r="D335" s="15" t="s">
        <v>320</v>
      </c>
      <c r="E335" s="68" t="s">
        <v>2</v>
      </c>
      <c r="F335" s="55" t="s">
        <v>2</v>
      </c>
      <c r="G335" s="40" t="s">
        <v>2745</v>
      </c>
      <c r="H335" s="71" t="s">
        <v>3894</v>
      </c>
      <c r="I335" s="67" t="s">
        <v>8</v>
      </c>
      <c r="J335" s="73" t="s">
        <v>270</v>
      </c>
      <c r="K335" s="4">
        <v>5676960</v>
      </c>
      <c r="L335" s="41">
        <v>96.3</v>
      </c>
      <c r="M335" s="4">
        <v>5778000</v>
      </c>
      <c r="N335" s="4">
        <v>6000000</v>
      </c>
      <c r="O335" s="4">
        <v>5901361</v>
      </c>
      <c r="P335" s="4">
        <v>0</v>
      </c>
      <c r="Q335" s="4">
        <v>57601</v>
      </c>
      <c r="R335" s="4">
        <v>0</v>
      </c>
      <c r="S335" s="4">
        <v>0</v>
      </c>
      <c r="T335" s="23">
        <v>3.15</v>
      </c>
      <c r="U335" s="23">
        <v>4.21</v>
      </c>
      <c r="V335" s="5" t="s">
        <v>268</v>
      </c>
      <c r="W335" s="4">
        <v>71400</v>
      </c>
      <c r="X335" s="4">
        <v>189000</v>
      </c>
      <c r="Y335" s="14">
        <v>43418</v>
      </c>
      <c r="Z335" s="14">
        <v>45519</v>
      </c>
      <c r="AA335" s="2"/>
      <c r="AB335" s="69" t="s">
        <v>3892</v>
      </c>
      <c r="AC335" s="5" t="s">
        <v>4178</v>
      </c>
      <c r="AD335" s="2"/>
      <c r="AE335" s="14">
        <v>45458</v>
      </c>
      <c r="AF335" s="23">
        <v>100</v>
      </c>
      <c r="AG335" s="6"/>
      <c r="AH335" s="5" t="s">
        <v>3691</v>
      </c>
      <c r="AI335" s="5" t="s">
        <v>70</v>
      </c>
      <c r="AJ335" s="5" t="s">
        <v>824</v>
      </c>
      <c r="AK335" s="21" t="s">
        <v>2</v>
      </c>
      <c r="AL335" s="72" t="s">
        <v>3894</v>
      </c>
      <c r="AM335" s="54" t="s">
        <v>4179</v>
      </c>
      <c r="AN335" s="34" t="s">
        <v>1189</v>
      </c>
    </row>
    <row r="336" spans="2:40" x14ac:dyDescent="0.3">
      <c r="B336" s="18" t="s">
        <v>2805</v>
      </c>
      <c r="C336" s="47" t="s">
        <v>1214</v>
      </c>
      <c r="D336" s="15" t="s">
        <v>320</v>
      </c>
      <c r="E336" s="68" t="s">
        <v>2</v>
      </c>
      <c r="F336" s="55" t="s">
        <v>2</v>
      </c>
      <c r="G336" s="40" t="s">
        <v>2745</v>
      </c>
      <c r="H336" s="71" t="s">
        <v>3894</v>
      </c>
      <c r="I336" s="67" t="s">
        <v>8</v>
      </c>
      <c r="J336" s="73" t="s">
        <v>270</v>
      </c>
      <c r="K336" s="4">
        <v>6539403</v>
      </c>
      <c r="L336" s="41">
        <v>75.891000000000005</v>
      </c>
      <c r="M336" s="4">
        <v>6070521</v>
      </c>
      <c r="N336" s="4">
        <v>7999000</v>
      </c>
      <c r="O336" s="4">
        <v>6625229</v>
      </c>
      <c r="P336" s="4">
        <v>0</v>
      </c>
      <c r="Q336" s="4">
        <v>85826</v>
      </c>
      <c r="R336" s="4">
        <v>0</v>
      </c>
      <c r="S336" s="4">
        <v>0</v>
      </c>
      <c r="T336" s="23">
        <v>1.8</v>
      </c>
      <c r="U336" s="23">
        <v>4.444</v>
      </c>
      <c r="V336" s="5" t="s">
        <v>3895</v>
      </c>
      <c r="W336" s="4">
        <v>35996</v>
      </c>
      <c r="X336" s="4">
        <v>71991</v>
      </c>
      <c r="Y336" s="14">
        <v>44713</v>
      </c>
      <c r="Z336" s="14">
        <v>47757</v>
      </c>
      <c r="AA336" s="2"/>
      <c r="AB336" s="69" t="s">
        <v>3892</v>
      </c>
      <c r="AC336" s="5" t="s">
        <v>4178</v>
      </c>
      <c r="AD336" s="2"/>
      <c r="AE336" s="14">
        <v>47665</v>
      </c>
      <c r="AF336" s="23">
        <v>100</v>
      </c>
      <c r="AG336" s="6"/>
      <c r="AH336" s="5" t="s">
        <v>3691</v>
      </c>
      <c r="AI336" s="5" t="s">
        <v>70</v>
      </c>
      <c r="AJ336" s="5" t="s">
        <v>824</v>
      </c>
      <c r="AK336" s="21" t="s">
        <v>2</v>
      </c>
      <c r="AL336" s="72" t="s">
        <v>3894</v>
      </c>
      <c r="AM336" s="54" t="s">
        <v>4179</v>
      </c>
      <c r="AN336" s="34" t="s">
        <v>1189</v>
      </c>
    </row>
    <row r="337" spans="2:40" x14ac:dyDescent="0.3">
      <c r="B337" s="18" t="s">
        <v>3948</v>
      </c>
      <c r="C337" s="47" t="s">
        <v>4252</v>
      </c>
      <c r="D337" s="15" t="s">
        <v>1215</v>
      </c>
      <c r="E337" s="68" t="s">
        <v>2</v>
      </c>
      <c r="F337" s="55" t="s">
        <v>2</v>
      </c>
      <c r="G337" s="40" t="s">
        <v>2745</v>
      </c>
      <c r="H337" s="71" t="s">
        <v>3894</v>
      </c>
      <c r="I337" s="67" t="s">
        <v>8</v>
      </c>
      <c r="J337" s="73" t="s">
        <v>270</v>
      </c>
      <c r="K337" s="4">
        <v>4987900</v>
      </c>
      <c r="L337" s="41">
        <v>91.156000000000006</v>
      </c>
      <c r="M337" s="4">
        <v>4557800</v>
      </c>
      <c r="N337" s="4">
        <v>5000000</v>
      </c>
      <c r="O337" s="4">
        <v>4989795</v>
      </c>
      <c r="P337" s="4">
        <v>0</v>
      </c>
      <c r="Q337" s="4">
        <v>1895</v>
      </c>
      <c r="R337" s="4">
        <v>0</v>
      </c>
      <c r="S337" s="4">
        <v>0</v>
      </c>
      <c r="T337" s="23">
        <v>2.9</v>
      </c>
      <c r="U337" s="23">
        <v>2.952</v>
      </c>
      <c r="V337" s="5" t="s">
        <v>10</v>
      </c>
      <c r="W337" s="4">
        <v>42694</v>
      </c>
      <c r="X337" s="4">
        <v>76931</v>
      </c>
      <c r="Y337" s="14">
        <v>44622</v>
      </c>
      <c r="Z337" s="14">
        <v>46461</v>
      </c>
      <c r="AA337" s="2"/>
      <c r="AB337" s="69" t="s">
        <v>3892</v>
      </c>
      <c r="AC337" s="5" t="s">
        <v>4178</v>
      </c>
      <c r="AD337" s="2"/>
      <c r="AE337" s="14">
        <v>46433</v>
      </c>
      <c r="AF337" s="23">
        <v>100</v>
      </c>
      <c r="AG337" s="6"/>
      <c r="AH337" s="5" t="s">
        <v>553</v>
      </c>
      <c r="AI337" s="5" t="s">
        <v>3458</v>
      </c>
      <c r="AJ337" s="5" t="s">
        <v>1688</v>
      </c>
      <c r="AK337" s="21" t="s">
        <v>2</v>
      </c>
      <c r="AL337" s="72" t="s">
        <v>3894</v>
      </c>
      <c r="AM337" s="54" t="s">
        <v>4179</v>
      </c>
      <c r="AN337" s="34" t="s">
        <v>1189</v>
      </c>
    </row>
    <row r="338" spans="2:40" x14ac:dyDescent="0.3">
      <c r="B338" s="18" t="s">
        <v>862</v>
      </c>
      <c r="C338" s="47" t="s">
        <v>2340</v>
      </c>
      <c r="D338" s="15" t="s">
        <v>554</v>
      </c>
      <c r="E338" s="68" t="s">
        <v>2</v>
      </c>
      <c r="F338" s="55" t="s">
        <v>2</v>
      </c>
      <c r="G338" s="40" t="s">
        <v>2</v>
      </c>
      <c r="H338" s="71" t="s">
        <v>3894</v>
      </c>
      <c r="I338" s="67" t="s">
        <v>8</v>
      </c>
      <c r="J338" s="73" t="s">
        <v>270</v>
      </c>
      <c r="K338" s="4">
        <v>6000000</v>
      </c>
      <c r="L338" s="41">
        <v>88.296000000000006</v>
      </c>
      <c r="M338" s="4">
        <v>5297760</v>
      </c>
      <c r="N338" s="4">
        <v>6000000</v>
      </c>
      <c r="O338" s="4">
        <v>6000000</v>
      </c>
      <c r="P338" s="4">
        <v>0</v>
      </c>
      <c r="Q338" s="4">
        <v>0</v>
      </c>
      <c r="R338" s="4">
        <v>0</v>
      </c>
      <c r="S338" s="4">
        <v>0</v>
      </c>
      <c r="T338" s="23">
        <v>2.42</v>
      </c>
      <c r="U338" s="23">
        <v>2.42</v>
      </c>
      <c r="V338" s="5" t="s">
        <v>3898</v>
      </c>
      <c r="W338" s="4">
        <v>6050</v>
      </c>
      <c r="X338" s="4">
        <v>145200</v>
      </c>
      <c r="Y338" s="14">
        <v>44363</v>
      </c>
      <c r="Z338" s="14">
        <v>46554</v>
      </c>
      <c r="AA338" s="2"/>
      <c r="AB338" s="69" t="s">
        <v>2783</v>
      </c>
      <c r="AC338" s="5" t="s">
        <v>2</v>
      </c>
      <c r="AD338" s="2"/>
      <c r="AE338" s="10"/>
      <c r="AF338" s="23"/>
      <c r="AG338" s="10"/>
      <c r="AH338" s="5" t="s">
        <v>1442</v>
      </c>
      <c r="AI338" s="5" t="s">
        <v>1443</v>
      </c>
      <c r="AJ338" s="5" t="s">
        <v>555</v>
      </c>
      <c r="AK338" s="21" t="s">
        <v>2</v>
      </c>
      <c r="AL338" s="72" t="s">
        <v>3894</v>
      </c>
      <c r="AM338" s="54" t="s">
        <v>4179</v>
      </c>
      <c r="AN338" s="34" t="s">
        <v>1189</v>
      </c>
    </row>
    <row r="339" spans="2:40" x14ac:dyDescent="0.3">
      <c r="B339" s="18" t="s">
        <v>1984</v>
      </c>
      <c r="C339" s="47" t="s">
        <v>2806</v>
      </c>
      <c r="D339" s="15" t="s">
        <v>554</v>
      </c>
      <c r="E339" s="68" t="s">
        <v>2</v>
      </c>
      <c r="F339" s="55" t="s">
        <v>2</v>
      </c>
      <c r="G339" s="40" t="s">
        <v>2</v>
      </c>
      <c r="H339" s="71" t="s">
        <v>3894</v>
      </c>
      <c r="I339" s="67" t="s">
        <v>8</v>
      </c>
      <c r="J339" s="73" t="s">
        <v>270</v>
      </c>
      <c r="K339" s="4">
        <v>4000000</v>
      </c>
      <c r="L339" s="41">
        <v>85.311999999999998</v>
      </c>
      <c r="M339" s="4">
        <v>3412480</v>
      </c>
      <c r="N339" s="4">
        <v>4000000</v>
      </c>
      <c r="O339" s="4">
        <v>4000000</v>
      </c>
      <c r="P339" s="4">
        <v>0</v>
      </c>
      <c r="Q339" s="4">
        <v>0</v>
      </c>
      <c r="R339" s="4">
        <v>0</v>
      </c>
      <c r="S339" s="4">
        <v>0</v>
      </c>
      <c r="T339" s="23">
        <v>2.83</v>
      </c>
      <c r="U339" s="23">
        <v>2.83</v>
      </c>
      <c r="V339" s="5" t="s">
        <v>3898</v>
      </c>
      <c r="W339" s="4">
        <v>4717</v>
      </c>
      <c r="X339" s="4">
        <v>113200</v>
      </c>
      <c r="Y339" s="14">
        <v>44363</v>
      </c>
      <c r="Z339" s="14">
        <v>47285</v>
      </c>
      <c r="AA339" s="2"/>
      <c r="AB339" s="69" t="s">
        <v>2783</v>
      </c>
      <c r="AC339" s="5" t="s">
        <v>2</v>
      </c>
      <c r="AD339" s="2"/>
      <c r="AE339" s="10"/>
      <c r="AF339" s="23"/>
      <c r="AG339" s="6"/>
      <c r="AH339" s="5" t="s">
        <v>1442</v>
      </c>
      <c r="AI339" s="5" t="s">
        <v>1443</v>
      </c>
      <c r="AJ339" s="5" t="s">
        <v>555</v>
      </c>
      <c r="AK339" s="21" t="s">
        <v>2</v>
      </c>
      <c r="AL339" s="72" t="s">
        <v>3894</v>
      </c>
      <c r="AM339" s="54" t="s">
        <v>4179</v>
      </c>
      <c r="AN339" s="34" t="s">
        <v>1189</v>
      </c>
    </row>
    <row r="340" spans="2:40" x14ac:dyDescent="0.3">
      <c r="B340" s="18" t="s">
        <v>3115</v>
      </c>
      <c r="C340" s="47" t="s">
        <v>2807</v>
      </c>
      <c r="D340" s="15" t="s">
        <v>2808</v>
      </c>
      <c r="E340" s="68" t="s">
        <v>2</v>
      </c>
      <c r="F340" s="55" t="s">
        <v>2</v>
      </c>
      <c r="G340" s="40" t="s">
        <v>2</v>
      </c>
      <c r="H340" s="71" t="s">
        <v>3894</v>
      </c>
      <c r="I340" s="67" t="s">
        <v>8</v>
      </c>
      <c r="J340" s="73" t="s">
        <v>270</v>
      </c>
      <c r="K340" s="4">
        <v>3498845</v>
      </c>
      <c r="L340" s="41">
        <v>95.498999999999995</v>
      </c>
      <c r="M340" s="4">
        <v>3342465</v>
      </c>
      <c r="N340" s="4">
        <v>3500000</v>
      </c>
      <c r="O340" s="4">
        <v>3499583</v>
      </c>
      <c r="P340" s="4">
        <v>0</v>
      </c>
      <c r="Q340" s="4">
        <v>231</v>
      </c>
      <c r="R340" s="4">
        <v>0</v>
      </c>
      <c r="S340" s="4">
        <v>0</v>
      </c>
      <c r="T340" s="23">
        <v>2.5289999999999999</v>
      </c>
      <c r="U340" s="23">
        <v>2.536</v>
      </c>
      <c r="V340" s="5" t="s">
        <v>3895</v>
      </c>
      <c r="W340" s="4">
        <v>22129</v>
      </c>
      <c r="X340" s="4">
        <v>88515</v>
      </c>
      <c r="Y340" s="14">
        <v>43685</v>
      </c>
      <c r="Z340" s="14">
        <v>45566</v>
      </c>
      <c r="AA340" s="2"/>
      <c r="AB340" s="69" t="s">
        <v>3892</v>
      </c>
      <c r="AC340" s="5" t="s">
        <v>4178</v>
      </c>
      <c r="AD340" s="2"/>
      <c r="AE340" s="10"/>
      <c r="AF340" s="23"/>
      <c r="AG340" s="6"/>
      <c r="AH340" s="5" t="s">
        <v>2</v>
      </c>
      <c r="AI340" s="5" t="s">
        <v>2808</v>
      </c>
      <c r="AJ340" s="5" t="s">
        <v>2</v>
      </c>
      <c r="AK340" s="21" t="s">
        <v>2</v>
      </c>
      <c r="AL340" s="72" t="s">
        <v>3894</v>
      </c>
      <c r="AM340" s="54" t="s">
        <v>4179</v>
      </c>
      <c r="AN340" s="34" t="s">
        <v>1189</v>
      </c>
    </row>
    <row r="341" spans="2:40" x14ac:dyDescent="0.3">
      <c r="B341" s="18" t="s">
        <v>4253</v>
      </c>
      <c r="C341" s="47" t="s">
        <v>1216</v>
      </c>
      <c r="D341" s="15" t="s">
        <v>4254</v>
      </c>
      <c r="E341" s="68" t="s">
        <v>2</v>
      </c>
      <c r="F341" s="55" t="s">
        <v>2</v>
      </c>
      <c r="G341" s="40" t="s">
        <v>2745</v>
      </c>
      <c r="H341" s="71" t="s">
        <v>825</v>
      </c>
      <c r="I341" s="67" t="s">
        <v>3408</v>
      </c>
      <c r="J341" s="73" t="s">
        <v>270</v>
      </c>
      <c r="K341" s="4">
        <v>7036250</v>
      </c>
      <c r="L341" s="41">
        <v>85.998000000000005</v>
      </c>
      <c r="M341" s="4">
        <v>6019860</v>
      </c>
      <c r="N341" s="4">
        <v>7000000</v>
      </c>
      <c r="O341" s="4">
        <v>6019860</v>
      </c>
      <c r="P341" s="4">
        <v>-1006532</v>
      </c>
      <c r="Q341" s="4">
        <v>-7004</v>
      </c>
      <c r="R341" s="4">
        <v>0</v>
      </c>
      <c r="S341" s="4">
        <v>0</v>
      </c>
      <c r="T341" s="23">
        <v>4.125</v>
      </c>
      <c r="U341" s="23">
        <v>4.0069999999999997</v>
      </c>
      <c r="V341" s="5" t="s">
        <v>3898</v>
      </c>
      <c r="W341" s="4">
        <v>12833</v>
      </c>
      <c r="X341" s="4">
        <v>288750</v>
      </c>
      <c r="Y341" s="14">
        <v>44419</v>
      </c>
      <c r="Z341" s="14">
        <v>47284</v>
      </c>
      <c r="AA341" s="2"/>
      <c r="AB341" s="69" t="s">
        <v>3892</v>
      </c>
      <c r="AC341" s="5" t="s">
        <v>4178</v>
      </c>
      <c r="AD341" s="2"/>
      <c r="AE341" s="14">
        <v>46188</v>
      </c>
      <c r="AF341" s="23">
        <v>100</v>
      </c>
      <c r="AG341" s="9">
        <v>46188</v>
      </c>
      <c r="AH341" s="5" t="s">
        <v>2</v>
      </c>
      <c r="AI341" s="5" t="s">
        <v>3116</v>
      </c>
      <c r="AJ341" s="5" t="s">
        <v>824</v>
      </c>
      <c r="AK341" s="21" t="s">
        <v>2</v>
      </c>
      <c r="AL341" s="72" t="s">
        <v>3894</v>
      </c>
      <c r="AM341" s="54" t="s">
        <v>4179</v>
      </c>
      <c r="AN341" s="34" t="s">
        <v>863</v>
      </c>
    </row>
    <row r="342" spans="2:40" x14ac:dyDescent="0.3">
      <c r="B342" s="18" t="s">
        <v>864</v>
      </c>
      <c r="C342" s="47" t="s">
        <v>865</v>
      </c>
      <c r="D342" s="15" t="s">
        <v>1444</v>
      </c>
      <c r="E342" s="68" t="s">
        <v>2</v>
      </c>
      <c r="F342" s="55" t="s">
        <v>2</v>
      </c>
      <c r="G342" s="40" t="s">
        <v>2745</v>
      </c>
      <c r="H342" s="71" t="s">
        <v>3894</v>
      </c>
      <c r="I342" s="67" t="s">
        <v>1164</v>
      </c>
      <c r="J342" s="73" t="s">
        <v>270</v>
      </c>
      <c r="K342" s="4">
        <v>4993100</v>
      </c>
      <c r="L342" s="41">
        <v>88.18</v>
      </c>
      <c r="M342" s="4">
        <v>4409000</v>
      </c>
      <c r="N342" s="4">
        <v>5000000</v>
      </c>
      <c r="O342" s="4">
        <v>4993530</v>
      </c>
      <c r="P342" s="4">
        <v>0</v>
      </c>
      <c r="Q342" s="4">
        <v>430</v>
      </c>
      <c r="R342" s="4">
        <v>0</v>
      </c>
      <c r="S342" s="4">
        <v>0</v>
      </c>
      <c r="T342" s="23">
        <v>4.3</v>
      </c>
      <c r="U342" s="23">
        <v>4.3170000000000002</v>
      </c>
      <c r="V342" s="5" t="s">
        <v>3895</v>
      </c>
      <c r="W342" s="4">
        <v>45389</v>
      </c>
      <c r="X342" s="4">
        <v>109889</v>
      </c>
      <c r="Y342" s="14">
        <v>44650</v>
      </c>
      <c r="Z342" s="14">
        <v>48319</v>
      </c>
      <c r="AA342" s="2"/>
      <c r="AB342" s="69" t="s">
        <v>3892</v>
      </c>
      <c r="AC342" s="5" t="s">
        <v>4178</v>
      </c>
      <c r="AD342" s="2"/>
      <c r="AE342" s="14">
        <v>48228</v>
      </c>
      <c r="AF342" s="23">
        <v>100</v>
      </c>
      <c r="AG342" s="10"/>
      <c r="AH342" s="5" t="s">
        <v>2</v>
      </c>
      <c r="AI342" s="5" t="s">
        <v>3116</v>
      </c>
      <c r="AJ342" s="5" t="s">
        <v>2575</v>
      </c>
      <c r="AK342" s="21" t="s">
        <v>2</v>
      </c>
      <c r="AL342" s="72" t="s">
        <v>3894</v>
      </c>
      <c r="AM342" s="54" t="s">
        <v>4179</v>
      </c>
      <c r="AN342" s="34" t="s">
        <v>828</v>
      </c>
    </row>
    <row r="343" spans="2:40" x14ac:dyDescent="0.3">
      <c r="B343" s="18" t="s">
        <v>1985</v>
      </c>
      <c r="C343" s="47" t="s">
        <v>321</v>
      </c>
      <c r="D343" s="15" t="s">
        <v>1986</v>
      </c>
      <c r="E343" s="68" t="s">
        <v>2</v>
      </c>
      <c r="F343" s="55" t="s">
        <v>2</v>
      </c>
      <c r="G343" s="40" t="s">
        <v>2</v>
      </c>
      <c r="H343" s="71" t="s">
        <v>2745</v>
      </c>
      <c r="I343" s="67" t="s">
        <v>287</v>
      </c>
      <c r="J343" s="73" t="s">
        <v>2</v>
      </c>
      <c r="K343" s="4">
        <v>7000000</v>
      </c>
      <c r="L343" s="41">
        <v>76.418000000000006</v>
      </c>
      <c r="M343" s="4">
        <v>5349260</v>
      </c>
      <c r="N343" s="4">
        <v>7000000</v>
      </c>
      <c r="O343" s="4">
        <v>7000000</v>
      </c>
      <c r="P343" s="4">
        <v>0</v>
      </c>
      <c r="Q343" s="4">
        <v>0</v>
      </c>
      <c r="R343" s="4">
        <v>0</v>
      </c>
      <c r="S343" s="4">
        <v>0</v>
      </c>
      <c r="T343" s="23">
        <v>2.0699999999999998</v>
      </c>
      <c r="U343" s="23">
        <v>2.0699999999999998</v>
      </c>
      <c r="V343" s="5" t="s">
        <v>3898</v>
      </c>
      <c r="W343" s="4">
        <v>12075</v>
      </c>
      <c r="X343" s="4">
        <v>150938</v>
      </c>
      <c r="Y343" s="14">
        <v>44516</v>
      </c>
      <c r="Z343" s="14">
        <v>48183</v>
      </c>
      <c r="AA343" s="2"/>
      <c r="AB343" s="69" t="s">
        <v>1671</v>
      </c>
      <c r="AC343" s="5" t="s">
        <v>2</v>
      </c>
      <c r="AD343" s="2"/>
      <c r="AE343" s="10"/>
      <c r="AF343" s="23"/>
      <c r="AG343" s="6"/>
      <c r="AH343" s="5" t="s">
        <v>2</v>
      </c>
      <c r="AI343" s="5" t="s">
        <v>3117</v>
      </c>
      <c r="AJ343" s="5" t="s">
        <v>3118</v>
      </c>
      <c r="AK343" s="21" t="s">
        <v>2</v>
      </c>
      <c r="AL343" s="72" t="s">
        <v>2745</v>
      </c>
      <c r="AM343" s="54" t="s">
        <v>4179</v>
      </c>
      <c r="AN343" s="34" t="s">
        <v>3946</v>
      </c>
    </row>
    <row r="344" spans="2:40" x14ac:dyDescent="0.3">
      <c r="B344" s="18" t="s">
        <v>3119</v>
      </c>
      <c r="C344" s="47" t="s">
        <v>71</v>
      </c>
      <c r="D344" s="15" t="s">
        <v>322</v>
      </c>
      <c r="E344" s="68" t="s">
        <v>2</v>
      </c>
      <c r="F344" s="55" t="s">
        <v>2</v>
      </c>
      <c r="G344" s="40" t="s">
        <v>2745</v>
      </c>
      <c r="H344" s="71" t="s">
        <v>2745</v>
      </c>
      <c r="I344" s="67" t="s">
        <v>1414</v>
      </c>
      <c r="J344" s="73" t="s">
        <v>270</v>
      </c>
      <c r="K344" s="4">
        <v>3402105</v>
      </c>
      <c r="L344" s="41">
        <v>97.006</v>
      </c>
      <c r="M344" s="4">
        <v>3395210</v>
      </c>
      <c r="N344" s="4">
        <v>3500000</v>
      </c>
      <c r="O344" s="4">
        <v>3472363</v>
      </c>
      <c r="P344" s="4">
        <v>0</v>
      </c>
      <c r="Q344" s="4">
        <v>16639</v>
      </c>
      <c r="R344" s="4">
        <v>0</v>
      </c>
      <c r="S344" s="4">
        <v>0</v>
      </c>
      <c r="T344" s="23">
        <v>3.25</v>
      </c>
      <c r="U344" s="23">
        <v>3.7690000000000001</v>
      </c>
      <c r="V344" s="5" t="s">
        <v>268</v>
      </c>
      <c r="W344" s="4">
        <v>47396</v>
      </c>
      <c r="X344" s="4">
        <v>113750</v>
      </c>
      <c r="Y344" s="14">
        <v>43278</v>
      </c>
      <c r="Z344" s="14">
        <v>45505</v>
      </c>
      <c r="AA344" s="2"/>
      <c r="AB344" s="69" t="s">
        <v>3892</v>
      </c>
      <c r="AC344" s="5" t="s">
        <v>4178</v>
      </c>
      <c r="AD344" s="2"/>
      <c r="AE344" s="10"/>
      <c r="AF344" s="23"/>
      <c r="AG344" s="10"/>
      <c r="AH344" s="5" t="s">
        <v>2809</v>
      </c>
      <c r="AI344" s="5" t="s">
        <v>322</v>
      </c>
      <c r="AJ344" s="5" t="s">
        <v>2</v>
      </c>
      <c r="AK344" s="21" t="s">
        <v>2</v>
      </c>
      <c r="AL344" s="72" t="s">
        <v>3894</v>
      </c>
      <c r="AM344" s="54" t="s">
        <v>4179</v>
      </c>
      <c r="AN344" s="34" t="s">
        <v>512</v>
      </c>
    </row>
    <row r="345" spans="2:40" x14ac:dyDescent="0.3">
      <c r="B345" s="18" t="s">
        <v>4255</v>
      </c>
      <c r="C345" s="47" t="s">
        <v>556</v>
      </c>
      <c r="D345" s="15" t="s">
        <v>866</v>
      </c>
      <c r="E345" s="68" t="s">
        <v>2</v>
      </c>
      <c r="F345" s="55" t="s">
        <v>2</v>
      </c>
      <c r="G345" s="40" t="s">
        <v>2745</v>
      </c>
      <c r="H345" s="71" t="s">
        <v>2745</v>
      </c>
      <c r="I345" s="67" t="s">
        <v>1414</v>
      </c>
      <c r="J345" s="73" t="s">
        <v>270</v>
      </c>
      <c r="K345" s="4">
        <v>5360100</v>
      </c>
      <c r="L345" s="41">
        <v>88.397999999999996</v>
      </c>
      <c r="M345" s="4">
        <v>4419900</v>
      </c>
      <c r="N345" s="4">
        <v>5000000</v>
      </c>
      <c r="O345" s="4">
        <v>5271105</v>
      </c>
      <c r="P345" s="4">
        <v>0</v>
      </c>
      <c r="Q345" s="4">
        <v>-37612</v>
      </c>
      <c r="R345" s="4">
        <v>0</v>
      </c>
      <c r="S345" s="4">
        <v>0</v>
      </c>
      <c r="T345" s="23">
        <v>3.1</v>
      </c>
      <c r="U345" s="23">
        <v>2.2149999999999999</v>
      </c>
      <c r="V345" s="5" t="s">
        <v>268</v>
      </c>
      <c r="W345" s="4">
        <v>58556</v>
      </c>
      <c r="X345" s="4">
        <v>155000</v>
      </c>
      <c r="Y345" s="14">
        <v>44047</v>
      </c>
      <c r="Z345" s="14">
        <v>47345</v>
      </c>
      <c r="AA345" s="2"/>
      <c r="AB345" s="69" t="s">
        <v>3892</v>
      </c>
      <c r="AC345" s="5" t="s">
        <v>4178</v>
      </c>
      <c r="AD345" s="2"/>
      <c r="AE345" s="10"/>
      <c r="AF345" s="23"/>
      <c r="AG345" s="10"/>
      <c r="AH345" s="5" t="s">
        <v>2809</v>
      </c>
      <c r="AI345" s="5" t="s">
        <v>322</v>
      </c>
      <c r="AJ345" s="5" t="s">
        <v>824</v>
      </c>
      <c r="AK345" s="21" t="s">
        <v>2</v>
      </c>
      <c r="AL345" s="72" t="s">
        <v>3894</v>
      </c>
      <c r="AM345" s="54" t="s">
        <v>4179</v>
      </c>
      <c r="AN345" s="34" t="s">
        <v>512</v>
      </c>
    </row>
    <row r="346" spans="2:40" x14ac:dyDescent="0.3">
      <c r="B346" s="18" t="s">
        <v>1689</v>
      </c>
      <c r="C346" s="47" t="s">
        <v>3120</v>
      </c>
      <c r="D346" s="15" t="s">
        <v>866</v>
      </c>
      <c r="E346" s="68" t="s">
        <v>2</v>
      </c>
      <c r="F346" s="55" t="s">
        <v>2</v>
      </c>
      <c r="G346" s="40" t="s">
        <v>2745</v>
      </c>
      <c r="H346" s="71" t="s">
        <v>2745</v>
      </c>
      <c r="I346" s="67" t="s">
        <v>1414</v>
      </c>
      <c r="J346" s="73" t="s">
        <v>270</v>
      </c>
      <c r="K346" s="4">
        <v>998270</v>
      </c>
      <c r="L346" s="41">
        <v>96.606999999999999</v>
      </c>
      <c r="M346" s="4">
        <v>966070</v>
      </c>
      <c r="N346" s="4">
        <v>1000000</v>
      </c>
      <c r="O346" s="4">
        <v>999449</v>
      </c>
      <c r="P346" s="4">
        <v>0</v>
      </c>
      <c r="Q346" s="4">
        <v>367</v>
      </c>
      <c r="R346" s="4">
        <v>0</v>
      </c>
      <c r="S346" s="4">
        <v>0</v>
      </c>
      <c r="T346" s="23">
        <v>2.7</v>
      </c>
      <c r="U346" s="23">
        <v>2.7389999999999999</v>
      </c>
      <c r="V346" s="5" t="s">
        <v>3898</v>
      </c>
      <c r="W346" s="4">
        <v>1275</v>
      </c>
      <c r="X346" s="4">
        <v>27000</v>
      </c>
      <c r="Y346" s="14">
        <v>43689</v>
      </c>
      <c r="Z346" s="14">
        <v>45457</v>
      </c>
      <c r="AA346" s="2"/>
      <c r="AB346" s="69" t="s">
        <v>3892</v>
      </c>
      <c r="AC346" s="5" t="s">
        <v>4178</v>
      </c>
      <c r="AD346" s="2"/>
      <c r="AE346" s="6"/>
      <c r="AF346" s="23"/>
      <c r="AG346" s="6"/>
      <c r="AH346" s="5" t="s">
        <v>2809</v>
      </c>
      <c r="AI346" s="5" t="s">
        <v>322</v>
      </c>
      <c r="AJ346" s="5" t="s">
        <v>824</v>
      </c>
      <c r="AK346" s="21" t="s">
        <v>2</v>
      </c>
      <c r="AL346" s="72" t="s">
        <v>3894</v>
      </c>
      <c r="AM346" s="54" t="s">
        <v>4179</v>
      </c>
      <c r="AN346" s="34" t="s">
        <v>512</v>
      </c>
    </row>
    <row r="347" spans="2:40" x14ac:dyDescent="0.3">
      <c r="B347" s="18" t="s">
        <v>3121</v>
      </c>
      <c r="C347" s="47" t="s">
        <v>1445</v>
      </c>
      <c r="D347" s="15" t="s">
        <v>1987</v>
      </c>
      <c r="E347" s="68" t="s">
        <v>2</v>
      </c>
      <c r="F347" s="55" t="s">
        <v>2</v>
      </c>
      <c r="G347" s="40" t="s">
        <v>2</v>
      </c>
      <c r="H347" s="71" t="s">
        <v>2745</v>
      </c>
      <c r="I347" s="67" t="s">
        <v>287</v>
      </c>
      <c r="J347" s="73" t="s">
        <v>270</v>
      </c>
      <c r="K347" s="4">
        <v>7559255</v>
      </c>
      <c r="L347" s="41">
        <v>97.45</v>
      </c>
      <c r="M347" s="4">
        <v>7308750</v>
      </c>
      <c r="N347" s="4">
        <v>7500000</v>
      </c>
      <c r="O347" s="4">
        <v>7523328</v>
      </c>
      <c r="P347" s="4">
        <v>0</v>
      </c>
      <c r="Q347" s="4">
        <v>-10148</v>
      </c>
      <c r="R347" s="4">
        <v>0</v>
      </c>
      <c r="S347" s="4">
        <v>0</v>
      </c>
      <c r="T347" s="23">
        <v>3.45</v>
      </c>
      <c r="U347" s="23">
        <v>3.302</v>
      </c>
      <c r="V347" s="5" t="s">
        <v>10</v>
      </c>
      <c r="W347" s="4">
        <v>77625</v>
      </c>
      <c r="X347" s="4">
        <v>258750</v>
      </c>
      <c r="Y347" s="14">
        <v>43553</v>
      </c>
      <c r="Z347" s="14">
        <v>45729</v>
      </c>
      <c r="AA347" s="2"/>
      <c r="AB347" s="69" t="s">
        <v>3892</v>
      </c>
      <c r="AC347" s="5" t="s">
        <v>4178</v>
      </c>
      <c r="AD347" s="2"/>
      <c r="AE347" s="6"/>
      <c r="AF347" s="23"/>
      <c r="AG347" s="6"/>
      <c r="AH347" s="5" t="s">
        <v>3692</v>
      </c>
      <c r="AI347" s="5" t="s">
        <v>1987</v>
      </c>
      <c r="AJ347" s="5" t="s">
        <v>2</v>
      </c>
      <c r="AK347" s="21" t="s">
        <v>2</v>
      </c>
      <c r="AL347" s="72" t="s">
        <v>3894</v>
      </c>
      <c r="AM347" s="54" t="s">
        <v>4179</v>
      </c>
      <c r="AN347" s="34" t="s">
        <v>819</v>
      </c>
    </row>
    <row r="348" spans="2:40" x14ac:dyDescent="0.3">
      <c r="B348" s="18" t="s">
        <v>4256</v>
      </c>
      <c r="C348" s="47" t="s">
        <v>1988</v>
      </c>
      <c r="D348" s="15" t="s">
        <v>1987</v>
      </c>
      <c r="E348" s="68" t="s">
        <v>2</v>
      </c>
      <c r="F348" s="55" t="s">
        <v>2</v>
      </c>
      <c r="G348" s="40" t="s">
        <v>2</v>
      </c>
      <c r="H348" s="71" t="s">
        <v>2745</v>
      </c>
      <c r="I348" s="67" t="s">
        <v>287</v>
      </c>
      <c r="J348" s="73" t="s">
        <v>270</v>
      </c>
      <c r="K348" s="4">
        <v>4987750</v>
      </c>
      <c r="L348" s="41">
        <v>92.4</v>
      </c>
      <c r="M348" s="4">
        <v>4620000</v>
      </c>
      <c r="N348" s="4">
        <v>5000000</v>
      </c>
      <c r="O348" s="4">
        <v>4993286</v>
      </c>
      <c r="P348" s="4">
        <v>0</v>
      </c>
      <c r="Q348" s="4">
        <v>1719</v>
      </c>
      <c r="R348" s="4">
        <v>0</v>
      </c>
      <c r="S348" s="4">
        <v>0</v>
      </c>
      <c r="T348" s="23">
        <v>2.25</v>
      </c>
      <c r="U348" s="23">
        <v>2.2879999999999998</v>
      </c>
      <c r="V348" s="5" t="s">
        <v>10</v>
      </c>
      <c r="W348" s="4">
        <v>33438</v>
      </c>
      <c r="X348" s="4">
        <v>112500</v>
      </c>
      <c r="Y348" s="14">
        <v>43717</v>
      </c>
      <c r="Z348" s="14">
        <v>46279</v>
      </c>
      <c r="AA348" s="2"/>
      <c r="AB348" s="69" t="s">
        <v>3892</v>
      </c>
      <c r="AC348" s="5" t="s">
        <v>4178</v>
      </c>
      <c r="AD348" s="2"/>
      <c r="AE348" s="6"/>
      <c r="AF348" s="23"/>
      <c r="AG348" s="6"/>
      <c r="AH348" s="5" t="s">
        <v>3692</v>
      </c>
      <c r="AI348" s="5" t="s">
        <v>1987</v>
      </c>
      <c r="AJ348" s="5" t="s">
        <v>2</v>
      </c>
      <c r="AK348" s="21" t="s">
        <v>2</v>
      </c>
      <c r="AL348" s="72" t="s">
        <v>3894</v>
      </c>
      <c r="AM348" s="54" t="s">
        <v>4179</v>
      </c>
      <c r="AN348" s="34" t="s">
        <v>819</v>
      </c>
    </row>
    <row r="349" spans="2:40" x14ac:dyDescent="0.3">
      <c r="B349" s="18" t="s">
        <v>867</v>
      </c>
      <c r="C349" s="47" t="s">
        <v>72</v>
      </c>
      <c r="D349" s="15" t="s">
        <v>1446</v>
      </c>
      <c r="E349" s="68" t="s">
        <v>2</v>
      </c>
      <c r="F349" s="55" t="s">
        <v>2</v>
      </c>
      <c r="G349" s="40" t="s">
        <v>2745</v>
      </c>
      <c r="H349" s="71" t="s">
        <v>3894</v>
      </c>
      <c r="I349" s="67" t="s">
        <v>8</v>
      </c>
      <c r="J349" s="73" t="s">
        <v>270</v>
      </c>
      <c r="K349" s="4">
        <v>4990589</v>
      </c>
      <c r="L349" s="41">
        <v>98.600999999999999</v>
      </c>
      <c r="M349" s="4">
        <v>4930050</v>
      </c>
      <c r="N349" s="4">
        <v>5000000</v>
      </c>
      <c r="O349" s="4">
        <v>4993340</v>
      </c>
      <c r="P349" s="4">
        <v>0</v>
      </c>
      <c r="Q349" s="4">
        <v>1580</v>
      </c>
      <c r="R349" s="4">
        <v>0</v>
      </c>
      <c r="S349" s="4">
        <v>0</v>
      </c>
      <c r="T349" s="23">
        <v>4.9000000000000004</v>
      </c>
      <c r="U349" s="23">
        <v>4.9390000000000001</v>
      </c>
      <c r="V349" s="5" t="s">
        <v>3895</v>
      </c>
      <c r="W349" s="4">
        <v>61250</v>
      </c>
      <c r="X349" s="4">
        <v>245000</v>
      </c>
      <c r="Y349" s="14">
        <v>44369</v>
      </c>
      <c r="Z349" s="14">
        <v>46296</v>
      </c>
      <c r="AA349" s="2"/>
      <c r="AB349" s="69" t="s">
        <v>3892</v>
      </c>
      <c r="AC349" s="5" t="s">
        <v>4178</v>
      </c>
      <c r="AD349" s="2"/>
      <c r="AE349" s="9">
        <v>46235</v>
      </c>
      <c r="AF349" s="23">
        <v>100</v>
      </c>
      <c r="AG349" s="6"/>
      <c r="AH349" s="5" t="s">
        <v>2</v>
      </c>
      <c r="AI349" s="5" t="s">
        <v>1446</v>
      </c>
      <c r="AJ349" s="5" t="s">
        <v>2</v>
      </c>
      <c r="AK349" s="21" t="s">
        <v>2</v>
      </c>
      <c r="AL349" s="72" t="s">
        <v>2745</v>
      </c>
      <c r="AM349" s="54" t="s">
        <v>4179</v>
      </c>
      <c r="AN349" s="34" t="s">
        <v>1189</v>
      </c>
    </row>
    <row r="350" spans="2:40" x14ac:dyDescent="0.3">
      <c r="B350" s="18" t="s">
        <v>1989</v>
      </c>
      <c r="C350" s="47" t="s">
        <v>3459</v>
      </c>
      <c r="D350" s="15" t="s">
        <v>323</v>
      </c>
      <c r="E350" s="68" t="s">
        <v>2</v>
      </c>
      <c r="F350" s="55" t="s">
        <v>2</v>
      </c>
      <c r="G350" s="40" t="s">
        <v>2</v>
      </c>
      <c r="H350" s="71" t="s">
        <v>2745</v>
      </c>
      <c r="I350" s="67" t="s">
        <v>287</v>
      </c>
      <c r="J350" s="73" t="s">
        <v>2</v>
      </c>
      <c r="K350" s="4">
        <v>4000000</v>
      </c>
      <c r="L350" s="41">
        <v>95.772000000000006</v>
      </c>
      <c r="M350" s="4">
        <v>3830880</v>
      </c>
      <c r="N350" s="4">
        <v>4000000</v>
      </c>
      <c r="O350" s="4">
        <v>4000000</v>
      </c>
      <c r="P350" s="4">
        <v>0</v>
      </c>
      <c r="Q350" s="4">
        <v>0</v>
      </c>
      <c r="R350" s="4">
        <v>0</v>
      </c>
      <c r="S350" s="4">
        <v>0</v>
      </c>
      <c r="T350" s="23">
        <v>3.32</v>
      </c>
      <c r="U350" s="23">
        <v>3.32</v>
      </c>
      <c r="V350" s="5" t="s">
        <v>3409</v>
      </c>
      <c r="W350" s="4">
        <v>19920</v>
      </c>
      <c r="X350" s="4">
        <v>132800</v>
      </c>
      <c r="Y350" s="14">
        <v>43958</v>
      </c>
      <c r="Z350" s="14">
        <v>45784</v>
      </c>
      <c r="AA350" s="2"/>
      <c r="AB350" s="69" t="s">
        <v>1671</v>
      </c>
      <c r="AC350" s="5" t="s">
        <v>2</v>
      </c>
      <c r="AD350" s="2"/>
      <c r="AE350" s="6"/>
      <c r="AF350" s="23"/>
      <c r="AG350" s="6"/>
      <c r="AH350" s="5" t="s">
        <v>2</v>
      </c>
      <c r="AI350" s="5" t="s">
        <v>323</v>
      </c>
      <c r="AJ350" s="5" t="s">
        <v>2</v>
      </c>
      <c r="AK350" s="21" t="s">
        <v>2</v>
      </c>
      <c r="AL350" s="72" t="s">
        <v>3894</v>
      </c>
      <c r="AM350" s="54" t="s">
        <v>4179</v>
      </c>
      <c r="AN350" s="34" t="s">
        <v>3946</v>
      </c>
    </row>
    <row r="351" spans="2:40" x14ac:dyDescent="0.3">
      <c r="B351" s="18" t="s">
        <v>3122</v>
      </c>
      <c r="C351" s="47" t="s">
        <v>3460</v>
      </c>
      <c r="D351" s="15" t="s">
        <v>323</v>
      </c>
      <c r="E351" s="68" t="s">
        <v>2</v>
      </c>
      <c r="F351" s="55" t="s">
        <v>2</v>
      </c>
      <c r="G351" s="40" t="s">
        <v>2</v>
      </c>
      <c r="H351" s="71" t="s">
        <v>2745</v>
      </c>
      <c r="I351" s="67" t="s">
        <v>287</v>
      </c>
      <c r="J351" s="73" t="s">
        <v>2</v>
      </c>
      <c r="K351" s="4">
        <v>2000000</v>
      </c>
      <c r="L351" s="41">
        <v>92.543999999999997</v>
      </c>
      <c r="M351" s="4">
        <v>1850880</v>
      </c>
      <c r="N351" s="4">
        <v>2000000</v>
      </c>
      <c r="O351" s="4">
        <v>2000000</v>
      </c>
      <c r="P351" s="4">
        <v>0</v>
      </c>
      <c r="Q351" s="4">
        <v>0</v>
      </c>
      <c r="R351" s="4">
        <v>0</v>
      </c>
      <c r="S351" s="4">
        <v>0</v>
      </c>
      <c r="T351" s="23">
        <v>3.46</v>
      </c>
      <c r="U351" s="23">
        <v>3.46</v>
      </c>
      <c r="V351" s="5" t="s">
        <v>3409</v>
      </c>
      <c r="W351" s="4">
        <v>10380</v>
      </c>
      <c r="X351" s="4">
        <v>69200</v>
      </c>
      <c r="Y351" s="14">
        <v>43958</v>
      </c>
      <c r="Z351" s="14">
        <v>46514</v>
      </c>
      <c r="AA351" s="2"/>
      <c r="AB351" s="69" t="s">
        <v>1671</v>
      </c>
      <c r="AC351" s="5" t="s">
        <v>2</v>
      </c>
      <c r="AD351" s="2"/>
      <c r="AE351" s="10"/>
      <c r="AF351" s="23"/>
      <c r="AG351" s="6"/>
      <c r="AH351" s="5" t="s">
        <v>2</v>
      </c>
      <c r="AI351" s="5" t="s">
        <v>323</v>
      </c>
      <c r="AJ351" s="5" t="s">
        <v>2</v>
      </c>
      <c r="AK351" s="21" t="s">
        <v>2</v>
      </c>
      <c r="AL351" s="72" t="s">
        <v>3894</v>
      </c>
      <c r="AM351" s="54" t="s">
        <v>4179</v>
      </c>
      <c r="AN351" s="34" t="s">
        <v>3946</v>
      </c>
    </row>
    <row r="352" spans="2:40" x14ac:dyDescent="0.3">
      <c r="B352" s="18" t="s">
        <v>4257</v>
      </c>
      <c r="C352" s="47" t="s">
        <v>1690</v>
      </c>
      <c r="D352" s="15" t="s">
        <v>1691</v>
      </c>
      <c r="E352" s="68" t="s">
        <v>2</v>
      </c>
      <c r="F352" s="55" t="s">
        <v>2</v>
      </c>
      <c r="G352" s="40" t="s">
        <v>2745</v>
      </c>
      <c r="H352" s="71" t="s">
        <v>3894</v>
      </c>
      <c r="I352" s="67" t="s">
        <v>8</v>
      </c>
      <c r="J352" s="73" t="s">
        <v>270</v>
      </c>
      <c r="K352" s="4">
        <v>5107900</v>
      </c>
      <c r="L352" s="41">
        <v>93.296999999999997</v>
      </c>
      <c r="M352" s="4">
        <v>4664850</v>
      </c>
      <c r="N352" s="4">
        <v>5000000</v>
      </c>
      <c r="O352" s="4">
        <v>5063739</v>
      </c>
      <c r="P352" s="4">
        <v>0</v>
      </c>
      <c r="Q352" s="4">
        <v>-15847</v>
      </c>
      <c r="R352" s="4">
        <v>0</v>
      </c>
      <c r="S352" s="4">
        <v>0</v>
      </c>
      <c r="T352" s="23">
        <v>3.25</v>
      </c>
      <c r="U352" s="23">
        <v>2.8889999999999998</v>
      </c>
      <c r="V352" s="5" t="s">
        <v>3898</v>
      </c>
      <c r="W352" s="4">
        <v>13542</v>
      </c>
      <c r="X352" s="4">
        <v>162500</v>
      </c>
      <c r="Y352" s="14">
        <v>43873</v>
      </c>
      <c r="Z352" s="14">
        <v>46357</v>
      </c>
      <c r="AA352" s="2"/>
      <c r="AB352" s="69" t="s">
        <v>3892</v>
      </c>
      <c r="AC352" s="5" t="s">
        <v>4178</v>
      </c>
      <c r="AD352" s="2"/>
      <c r="AE352" s="14">
        <v>46296</v>
      </c>
      <c r="AF352" s="23">
        <v>100</v>
      </c>
      <c r="AG352" s="9">
        <v>46296</v>
      </c>
      <c r="AH352" s="5" t="s">
        <v>868</v>
      </c>
      <c r="AI352" s="5" t="s">
        <v>1691</v>
      </c>
      <c r="AJ352" s="5" t="s">
        <v>2</v>
      </c>
      <c r="AK352" s="21" t="s">
        <v>2</v>
      </c>
      <c r="AL352" s="72" t="s">
        <v>3894</v>
      </c>
      <c r="AM352" s="54" t="s">
        <v>4179</v>
      </c>
      <c r="AN352" s="34" t="s">
        <v>1189</v>
      </c>
    </row>
    <row r="353" spans="2:40" x14ac:dyDescent="0.3">
      <c r="B353" s="18" t="s">
        <v>869</v>
      </c>
      <c r="C353" s="47" t="s">
        <v>4258</v>
      </c>
      <c r="D353" s="15" t="s">
        <v>1691</v>
      </c>
      <c r="E353" s="68" t="s">
        <v>2</v>
      </c>
      <c r="F353" s="55" t="s">
        <v>2</v>
      </c>
      <c r="G353" s="40" t="s">
        <v>2745</v>
      </c>
      <c r="H353" s="71" t="s">
        <v>3894</v>
      </c>
      <c r="I353" s="67" t="s">
        <v>8</v>
      </c>
      <c r="J353" s="73" t="s">
        <v>270</v>
      </c>
      <c r="K353" s="4">
        <v>1076610</v>
      </c>
      <c r="L353" s="41">
        <v>87.957999999999998</v>
      </c>
      <c r="M353" s="4">
        <v>879580</v>
      </c>
      <c r="N353" s="4">
        <v>1000000</v>
      </c>
      <c r="O353" s="4">
        <v>1060780</v>
      </c>
      <c r="P353" s="4">
        <v>0</v>
      </c>
      <c r="Q353" s="4">
        <v>-8305</v>
      </c>
      <c r="R353" s="4">
        <v>0</v>
      </c>
      <c r="S353" s="4">
        <v>0</v>
      </c>
      <c r="T353" s="23">
        <v>3.5</v>
      </c>
      <c r="U353" s="23">
        <v>2.5019999999999998</v>
      </c>
      <c r="V353" s="5" t="s">
        <v>3898</v>
      </c>
      <c r="W353" s="4">
        <v>2917</v>
      </c>
      <c r="X353" s="4">
        <v>35000</v>
      </c>
      <c r="Y353" s="14">
        <v>44218</v>
      </c>
      <c r="Z353" s="14">
        <v>47453</v>
      </c>
      <c r="AA353" s="2"/>
      <c r="AB353" s="69" t="s">
        <v>3892</v>
      </c>
      <c r="AC353" s="5" t="s">
        <v>4178</v>
      </c>
      <c r="AD353" s="2"/>
      <c r="AE353" s="14">
        <v>47362</v>
      </c>
      <c r="AF353" s="23">
        <v>100</v>
      </c>
      <c r="AG353" s="9">
        <v>47362</v>
      </c>
      <c r="AH353" s="5" t="s">
        <v>868</v>
      </c>
      <c r="AI353" s="5" t="s">
        <v>1691</v>
      </c>
      <c r="AJ353" s="5" t="s">
        <v>2</v>
      </c>
      <c r="AK353" s="21" t="s">
        <v>2</v>
      </c>
      <c r="AL353" s="72" t="s">
        <v>3894</v>
      </c>
      <c r="AM353" s="54" t="s">
        <v>4179</v>
      </c>
      <c r="AN353" s="34" t="s">
        <v>1189</v>
      </c>
    </row>
    <row r="354" spans="2:40" x14ac:dyDescent="0.3">
      <c r="B354" s="18" t="s">
        <v>1990</v>
      </c>
      <c r="C354" s="47" t="s">
        <v>4259</v>
      </c>
      <c r="D354" s="15" t="s">
        <v>1691</v>
      </c>
      <c r="E354" s="68" t="s">
        <v>2</v>
      </c>
      <c r="F354" s="55" t="s">
        <v>2</v>
      </c>
      <c r="G354" s="40" t="s">
        <v>2745</v>
      </c>
      <c r="H354" s="71" t="s">
        <v>3894</v>
      </c>
      <c r="I354" s="67" t="s">
        <v>8</v>
      </c>
      <c r="J354" s="73" t="s">
        <v>270</v>
      </c>
      <c r="K354" s="4">
        <v>5222400</v>
      </c>
      <c r="L354" s="41">
        <v>101.86199999999999</v>
      </c>
      <c r="M354" s="4">
        <v>5093100</v>
      </c>
      <c r="N354" s="4">
        <v>5000000</v>
      </c>
      <c r="O354" s="4">
        <v>5221615</v>
      </c>
      <c r="P354" s="4">
        <v>0</v>
      </c>
      <c r="Q354" s="4">
        <v>-785</v>
      </c>
      <c r="R354" s="4">
        <v>0</v>
      </c>
      <c r="S354" s="4">
        <v>0</v>
      </c>
      <c r="T354" s="23">
        <v>6.25</v>
      </c>
      <c r="U354" s="23">
        <v>5.6619999999999999</v>
      </c>
      <c r="V354" s="5" t="s">
        <v>10</v>
      </c>
      <c r="W354" s="4">
        <v>54688</v>
      </c>
      <c r="X354" s="4">
        <v>0</v>
      </c>
      <c r="Y354" s="14">
        <v>44907</v>
      </c>
      <c r="Z354" s="14">
        <v>48653</v>
      </c>
      <c r="AA354" s="2"/>
      <c r="AB354" s="69" t="s">
        <v>3892</v>
      </c>
      <c r="AC354" s="5" t="s">
        <v>4178</v>
      </c>
      <c r="AD354" s="2"/>
      <c r="AE354" s="14">
        <v>48563</v>
      </c>
      <c r="AF354" s="23">
        <v>100</v>
      </c>
      <c r="AG354" s="9">
        <v>48563</v>
      </c>
      <c r="AH354" s="5" t="s">
        <v>868</v>
      </c>
      <c r="AI354" s="5" t="s">
        <v>1691</v>
      </c>
      <c r="AJ354" s="5" t="s">
        <v>2</v>
      </c>
      <c r="AK354" s="21" t="s">
        <v>2</v>
      </c>
      <c r="AL354" s="72" t="s">
        <v>3894</v>
      </c>
      <c r="AM354" s="54" t="s">
        <v>4179</v>
      </c>
      <c r="AN354" s="34" t="s">
        <v>1189</v>
      </c>
    </row>
    <row r="355" spans="2:40" x14ac:dyDescent="0.3">
      <c r="B355" s="18" t="s">
        <v>3123</v>
      </c>
      <c r="C355" s="47" t="s">
        <v>2576</v>
      </c>
      <c r="D355" s="15" t="s">
        <v>4260</v>
      </c>
      <c r="E355" s="68" t="s">
        <v>2</v>
      </c>
      <c r="F355" s="55" t="s">
        <v>2</v>
      </c>
      <c r="G355" s="40" t="s">
        <v>2745</v>
      </c>
      <c r="H355" s="71" t="s">
        <v>2745</v>
      </c>
      <c r="I355" s="67" t="s">
        <v>1414</v>
      </c>
      <c r="J355" s="73" t="s">
        <v>270</v>
      </c>
      <c r="K355" s="4">
        <v>4979600</v>
      </c>
      <c r="L355" s="41">
        <v>95.253</v>
      </c>
      <c r="M355" s="4">
        <v>4762650</v>
      </c>
      <c r="N355" s="4">
        <v>5000000</v>
      </c>
      <c r="O355" s="4">
        <v>4993333</v>
      </c>
      <c r="P355" s="4">
        <v>0</v>
      </c>
      <c r="Q355" s="4">
        <v>4122</v>
      </c>
      <c r="R355" s="4">
        <v>0</v>
      </c>
      <c r="S355" s="4">
        <v>0</v>
      </c>
      <c r="T355" s="23">
        <v>1.75</v>
      </c>
      <c r="U355" s="23">
        <v>1.8360000000000001</v>
      </c>
      <c r="V355" s="5" t="s">
        <v>268</v>
      </c>
      <c r="W355" s="4">
        <v>29896</v>
      </c>
      <c r="X355" s="4">
        <v>87500</v>
      </c>
      <c r="Y355" s="14">
        <v>43711</v>
      </c>
      <c r="Z355" s="14">
        <v>45534</v>
      </c>
      <c r="AA355" s="2"/>
      <c r="AB355" s="69" t="s">
        <v>3892</v>
      </c>
      <c r="AC355" s="5" t="s">
        <v>4178</v>
      </c>
      <c r="AD355" s="2"/>
      <c r="AE355" s="14">
        <v>45503</v>
      </c>
      <c r="AF355" s="23">
        <v>100</v>
      </c>
      <c r="AG355" s="6"/>
      <c r="AH355" s="5" t="s">
        <v>2</v>
      </c>
      <c r="AI355" s="5" t="s">
        <v>4260</v>
      </c>
      <c r="AJ355" s="5" t="s">
        <v>2</v>
      </c>
      <c r="AK355" s="21" t="s">
        <v>2</v>
      </c>
      <c r="AL355" s="72" t="s">
        <v>3894</v>
      </c>
      <c r="AM355" s="54" t="s">
        <v>4179</v>
      </c>
      <c r="AN355" s="34" t="s">
        <v>512</v>
      </c>
    </row>
    <row r="356" spans="2:40" x14ac:dyDescent="0.3">
      <c r="B356" s="18" t="s">
        <v>870</v>
      </c>
      <c r="C356" s="47" t="s">
        <v>2341</v>
      </c>
      <c r="D356" s="15" t="s">
        <v>1217</v>
      </c>
      <c r="E356" s="68" t="s">
        <v>2</v>
      </c>
      <c r="F356" s="55" t="s">
        <v>2</v>
      </c>
      <c r="G356" s="40" t="s">
        <v>2745</v>
      </c>
      <c r="H356" s="71" t="s">
        <v>3894</v>
      </c>
      <c r="I356" s="67" t="s">
        <v>8</v>
      </c>
      <c r="J356" s="73" t="s">
        <v>270</v>
      </c>
      <c r="K356" s="4">
        <v>4988200</v>
      </c>
      <c r="L356" s="41">
        <v>98.68</v>
      </c>
      <c r="M356" s="4">
        <v>4934000</v>
      </c>
      <c r="N356" s="4">
        <v>5000000</v>
      </c>
      <c r="O356" s="4">
        <v>4988521</v>
      </c>
      <c r="P356" s="4">
        <v>0</v>
      </c>
      <c r="Q356" s="4">
        <v>321</v>
      </c>
      <c r="R356" s="4">
        <v>0</v>
      </c>
      <c r="S356" s="4">
        <v>0</v>
      </c>
      <c r="T356" s="23">
        <v>5</v>
      </c>
      <c r="U356" s="23">
        <v>5.0289999999999999</v>
      </c>
      <c r="V356" s="5" t="s">
        <v>3409</v>
      </c>
      <c r="W356" s="4">
        <v>70139</v>
      </c>
      <c r="X356" s="4">
        <v>0</v>
      </c>
      <c r="Y356" s="14">
        <v>44810</v>
      </c>
      <c r="Z356" s="14">
        <v>48519</v>
      </c>
      <c r="AA356" s="2"/>
      <c r="AB356" s="69" t="s">
        <v>3892</v>
      </c>
      <c r="AC356" s="5" t="s">
        <v>4178</v>
      </c>
      <c r="AD356" s="2"/>
      <c r="AE356" s="9">
        <v>48427</v>
      </c>
      <c r="AF356" s="23">
        <v>100</v>
      </c>
      <c r="AG356" s="6"/>
      <c r="AH356" s="5" t="s">
        <v>3124</v>
      </c>
      <c r="AI356" s="5" t="s">
        <v>871</v>
      </c>
      <c r="AJ356" s="5" t="s">
        <v>872</v>
      </c>
      <c r="AK356" s="21" t="s">
        <v>2</v>
      </c>
      <c r="AL356" s="72" t="s">
        <v>3894</v>
      </c>
      <c r="AM356" s="54" t="s">
        <v>4179</v>
      </c>
      <c r="AN356" s="34" t="s">
        <v>1189</v>
      </c>
    </row>
    <row r="357" spans="2:40" x14ac:dyDescent="0.3">
      <c r="B357" s="18" t="s">
        <v>1991</v>
      </c>
      <c r="C357" s="47" t="s">
        <v>2577</v>
      </c>
      <c r="D357" s="15" t="s">
        <v>1218</v>
      </c>
      <c r="E357" s="68" t="s">
        <v>2</v>
      </c>
      <c r="F357" s="55" t="s">
        <v>2</v>
      </c>
      <c r="G357" s="40" t="s">
        <v>2745</v>
      </c>
      <c r="H357" s="71" t="s">
        <v>3894</v>
      </c>
      <c r="I357" s="67" t="s">
        <v>8</v>
      </c>
      <c r="J357" s="73" t="s">
        <v>270</v>
      </c>
      <c r="K357" s="4">
        <v>4994950</v>
      </c>
      <c r="L357" s="41">
        <v>97.71</v>
      </c>
      <c r="M357" s="4">
        <v>4885500</v>
      </c>
      <c r="N357" s="4">
        <v>5000000</v>
      </c>
      <c r="O357" s="4">
        <v>4998206</v>
      </c>
      <c r="P357" s="4">
        <v>0</v>
      </c>
      <c r="Q357" s="4">
        <v>707</v>
      </c>
      <c r="R357" s="4">
        <v>0</v>
      </c>
      <c r="S357" s="4">
        <v>0</v>
      </c>
      <c r="T357" s="23">
        <v>4</v>
      </c>
      <c r="U357" s="23">
        <v>4.016</v>
      </c>
      <c r="V357" s="5" t="s">
        <v>3409</v>
      </c>
      <c r="W357" s="4">
        <v>25556</v>
      </c>
      <c r="X357" s="4">
        <v>200000</v>
      </c>
      <c r="Y357" s="14">
        <v>43195</v>
      </c>
      <c r="Z357" s="14">
        <v>45792</v>
      </c>
      <c r="AA357" s="2"/>
      <c r="AB357" s="69" t="s">
        <v>3892</v>
      </c>
      <c r="AC357" s="5" t="s">
        <v>4178</v>
      </c>
      <c r="AD357" s="2"/>
      <c r="AE357" s="14">
        <v>45731</v>
      </c>
      <c r="AF357" s="23">
        <v>100</v>
      </c>
      <c r="AG357" s="10"/>
      <c r="AH357" s="5" t="s">
        <v>1447</v>
      </c>
      <c r="AI357" s="5" t="s">
        <v>1218</v>
      </c>
      <c r="AJ357" s="5" t="s">
        <v>2</v>
      </c>
      <c r="AK357" s="21" t="s">
        <v>2</v>
      </c>
      <c r="AL357" s="72" t="s">
        <v>3894</v>
      </c>
      <c r="AM357" s="54" t="s">
        <v>4179</v>
      </c>
      <c r="AN357" s="34" t="s">
        <v>1189</v>
      </c>
    </row>
    <row r="358" spans="2:40" x14ac:dyDescent="0.3">
      <c r="B358" s="18" t="s">
        <v>3125</v>
      </c>
      <c r="C358" s="47" t="s">
        <v>3949</v>
      </c>
      <c r="D358" s="15" t="s">
        <v>3950</v>
      </c>
      <c r="E358" s="68" t="s">
        <v>2</v>
      </c>
      <c r="F358" s="55" t="s">
        <v>2</v>
      </c>
      <c r="G358" s="40" t="s">
        <v>2745</v>
      </c>
      <c r="H358" s="71" t="s">
        <v>3894</v>
      </c>
      <c r="I358" s="67" t="s">
        <v>3408</v>
      </c>
      <c r="J358" s="73" t="s">
        <v>270</v>
      </c>
      <c r="K358" s="4">
        <v>5007339</v>
      </c>
      <c r="L358" s="41">
        <v>99.418000000000006</v>
      </c>
      <c r="M358" s="4">
        <v>4970900</v>
      </c>
      <c r="N358" s="4">
        <v>5000000</v>
      </c>
      <c r="O358" s="4">
        <v>5003864</v>
      </c>
      <c r="P358" s="4">
        <v>0</v>
      </c>
      <c r="Q358" s="4">
        <v>-1208</v>
      </c>
      <c r="R358" s="4">
        <v>0</v>
      </c>
      <c r="S358" s="4">
        <v>0</v>
      </c>
      <c r="T358" s="23">
        <v>4.55</v>
      </c>
      <c r="U358" s="23">
        <v>4.5220000000000002</v>
      </c>
      <c r="V358" s="5" t="s">
        <v>3409</v>
      </c>
      <c r="W358" s="4">
        <v>19590</v>
      </c>
      <c r="X358" s="4">
        <v>227500</v>
      </c>
      <c r="Y358" s="14">
        <v>43794</v>
      </c>
      <c r="Z358" s="14">
        <v>45991</v>
      </c>
      <c r="AA358" s="2"/>
      <c r="AB358" s="69" t="s">
        <v>3892</v>
      </c>
      <c r="AC358" s="5" t="s">
        <v>7</v>
      </c>
      <c r="AD358" s="2"/>
      <c r="AE358" s="14">
        <v>45930</v>
      </c>
      <c r="AF358" s="23">
        <v>100</v>
      </c>
      <c r="AG358" s="9">
        <v>45930</v>
      </c>
      <c r="AH358" s="5" t="s">
        <v>73</v>
      </c>
      <c r="AI358" s="5" t="s">
        <v>3950</v>
      </c>
      <c r="AJ358" s="5" t="s">
        <v>2</v>
      </c>
      <c r="AK358" s="21" t="s">
        <v>2</v>
      </c>
      <c r="AL358" s="72" t="s">
        <v>3894</v>
      </c>
      <c r="AM358" s="54" t="s">
        <v>4179</v>
      </c>
      <c r="AN358" s="34" t="s">
        <v>1650</v>
      </c>
    </row>
    <row r="359" spans="2:40" x14ac:dyDescent="0.3">
      <c r="B359" s="18" t="s">
        <v>4261</v>
      </c>
      <c r="C359" s="47" t="s">
        <v>1692</v>
      </c>
      <c r="D359" s="15" t="s">
        <v>4262</v>
      </c>
      <c r="E359" s="68" t="s">
        <v>2</v>
      </c>
      <c r="F359" s="55" t="s">
        <v>2</v>
      </c>
      <c r="G359" s="40" t="s">
        <v>2745</v>
      </c>
      <c r="H359" s="71" t="s">
        <v>3894</v>
      </c>
      <c r="I359" s="67" t="s">
        <v>3408</v>
      </c>
      <c r="J359" s="73" t="s">
        <v>270</v>
      </c>
      <c r="K359" s="4">
        <v>12000000</v>
      </c>
      <c r="L359" s="41">
        <v>98.457999999999998</v>
      </c>
      <c r="M359" s="4">
        <v>11814960</v>
      </c>
      <c r="N359" s="4">
        <v>12000000</v>
      </c>
      <c r="O359" s="4">
        <v>12000000</v>
      </c>
      <c r="P359" s="4">
        <v>0</v>
      </c>
      <c r="Q359" s="4">
        <v>0</v>
      </c>
      <c r="R359" s="4">
        <v>0</v>
      </c>
      <c r="S359" s="4">
        <v>0</v>
      </c>
      <c r="T359" s="23">
        <v>4.4930000000000003</v>
      </c>
      <c r="U359" s="23">
        <v>4.4930000000000003</v>
      </c>
      <c r="V359" s="5" t="s">
        <v>3409</v>
      </c>
      <c r="W359" s="4">
        <v>68893</v>
      </c>
      <c r="X359" s="4">
        <v>539160</v>
      </c>
      <c r="Y359" s="14">
        <v>43419</v>
      </c>
      <c r="Z359" s="14">
        <v>45976</v>
      </c>
      <c r="AA359" s="2"/>
      <c r="AB359" s="69" t="s">
        <v>3892</v>
      </c>
      <c r="AC359" s="5" t="s">
        <v>4178</v>
      </c>
      <c r="AD359" s="2"/>
      <c r="AE359" s="14">
        <v>45915</v>
      </c>
      <c r="AF359" s="23">
        <v>100</v>
      </c>
      <c r="AG359" s="10"/>
      <c r="AH359" s="5" t="s">
        <v>3126</v>
      </c>
      <c r="AI359" s="5" t="s">
        <v>4262</v>
      </c>
      <c r="AJ359" s="5" t="s">
        <v>2</v>
      </c>
      <c r="AK359" s="21" t="s">
        <v>2</v>
      </c>
      <c r="AL359" s="72" t="s">
        <v>3894</v>
      </c>
      <c r="AM359" s="54" t="s">
        <v>4179</v>
      </c>
      <c r="AN359" s="34" t="s">
        <v>1650</v>
      </c>
    </row>
    <row r="360" spans="2:40" x14ac:dyDescent="0.3">
      <c r="B360" s="18" t="s">
        <v>873</v>
      </c>
      <c r="C360" s="47" t="s">
        <v>1693</v>
      </c>
      <c r="D360" s="15" t="s">
        <v>4263</v>
      </c>
      <c r="E360" s="68" t="s">
        <v>2</v>
      </c>
      <c r="F360" s="55" t="s">
        <v>2</v>
      </c>
      <c r="G360" s="40" t="s">
        <v>2745</v>
      </c>
      <c r="H360" s="71" t="s">
        <v>3894</v>
      </c>
      <c r="I360" s="67" t="s">
        <v>8</v>
      </c>
      <c r="J360" s="73" t="s">
        <v>270</v>
      </c>
      <c r="K360" s="4">
        <v>6997340</v>
      </c>
      <c r="L360" s="41">
        <v>98.036000000000001</v>
      </c>
      <c r="M360" s="4">
        <v>6862520</v>
      </c>
      <c r="N360" s="4">
        <v>7000000</v>
      </c>
      <c r="O360" s="4">
        <v>6999603</v>
      </c>
      <c r="P360" s="4">
        <v>0</v>
      </c>
      <c r="Q360" s="4">
        <v>403</v>
      </c>
      <c r="R360" s="4">
        <v>0</v>
      </c>
      <c r="S360" s="4">
        <v>0</v>
      </c>
      <c r="T360" s="23">
        <v>3.13</v>
      </c>
      <c r="U360" s="23">
        <v>3.1360000000000001</v>
      </c>
      <c r="V360" s="5" t="s">
        <v>3898</v>
      </c>
      <c r="W360" s="4">
        <v>9738</v>
      </c>
      <c r="X360" s="4">
        <v>219100</v>
      </c>
      <c r="Y360" s="14">
        <v>42709</v>
      </c>
      <c r="Z360" s="14">
        <v>45275</v>
      </c>
      <c r="AA360" s="2"/>
      <c r="AB360" s="69" t="s">
        <v>3892</v>
      </c>
      <c r="AC360" s="5" t="s">
        <v>4178</v>
      </c>
      <c r="AD360" s="2"/>
      <c r="AE360" s="14">
        <v>45214</v>
      </c>
      <c r="AF360" s="23">
        <v>100</v>
      </c>
      <c r="AG360" s="6"/>
      <c r="AH360" s="5" t="s">
        <v>2</v>
      </c>
      <c r="AI360" s="5" t="s">
        <v>4263</v>
      </c>
      <c r="AJ360" s="5" t="s">
        <v>2</v>
      </c>
      <c r="AK360" s="21" t="s">
        <v>2</v>
      </c>
      <c r="AL360" s="72" t="s">
        <v>3894</v>
      </c>
      <c r="AM360" s="54" t="s">
        <v>4179</v>
      </c>
      <c r="AN360" s="34" t="s">
        <v>1189</v>
      </c>
    </row>
    <row r="361" spans="2:40" x14ac:dyDescent="0.3">
      <c r="B361" s="18" t="s">
        <v>1992</v>
      </c>
      <c r="C361" s="47" t="s">
        <v>3693</v>
      </c>
      <c r="D361" s="15" t="s">
        <v>3461</v>
      </c>
      <c r="E361" s="68" t="s">
        <v>2</v>
      </c>
      <c r="F361" s="55" t="s">
        <v>2</v>
      </c>
      <c r="G361" s="40" t="s">
        <v>2745</v>
      </c>
      <c r="H361" s="71" t="s">
        <v>3894</v>
      </c>
      <c r="I361" s="67" t="s">
        <v>8</v>
      </c>
      <c r="J361" s="73" t="s">
        <v>270</v>
      </c>
      <c r="K361" s="4">
        <v>4743160</v>
      </c>
      <c r="L361" s="41">
        <v>94.302000000000007</v>
      </c>
      <c r="M361" s="4">
        <v>4479345</v>
      </c>
      <c r="N361" s="4">
        <v>4750000</v>
      </c>
      <c r="O361" s="4">
        <v>4743391</v>
      </c>
      <c r="P361" s="4">
        <v>0</v>
      </c>
      <c r="Q361" s="4">
        <v>231</v>
      </c>
      <c r="R361" s="4">
        <v>0</v>
      </c>
      <c r="S361" s="4">
        <v>0</v>
      </c>
      <c r="T361" s="23">
        <v>4.5</v>
      </c>
      <c r="U361" s="23">
        <v>4.5179999999999998</v>
      </c>
      <c r="V361" s="5" t="s">
        <v>268</v>
      </c>
      <c r="W361" s="4">
        <v>83125</v>
      </c>
      <c r="X361" s="4">
        <v>0</v>
      </c>
      <c r="Y361" s="14">
        <v>44781</v>
      </c>
      <c r="Z361" s="14">
        <v>48441</v>
      </c>
      <c r="AA361" s="2"/>
      <c r="AB361" s="69" t="s">
        <v>3892</v>
      </c>
      <c r="AC361" s="5" t="s">
        <v>4178</v>
      </c>
      <c r="AD361" s="2"/>
      <c r="AE361" s="14">
        <v>48349</v>
      </c>
      <c r="AF361" s="23">
        <v>100</v>
      </c>
      <c r="AG361" s="6"/>
      <c r="AH361" s="5" t="s">
        <v>2</v>
      </c>
      <c r="AI361" s="5" t="s">
        <v>3461</v>
      </c>
      <c r="AJ361" s="5" t="s">
        <v>2</v>
      </c>
      <c r="AK361" s="21" t="s">
        <v>2</v>
      </c>
      <c r="AL361" s="72" t="s">
        <v>3894</v>
      </c>
      <c r="AM361" s="54" t="s">
        <v>4179</v>
      </c>
      <c r="AN361" s="34" t="s">
        <v>1189</v>
      </c>
    </row>
    <row r="362" spans="2:40" x14ac:dyDescent="0.3">
      <c r="B362" s="18" t="s">
        <v>3127</v>
      </c>
      <c r="C362" s="47" t="s">
        <v>3462</v>
      </c>
      <c r="D362" s="15" t="s">
        <v>1694</v>
      </c>
      <c r="E362" s="68" t="s">
        <v>2</v>
      </c>
      <c r="F362" s="55" t="s">
        <v>2</v>
      </c>
      <c r="G362" s="40" t="s">
        <v>2745</v>
      </c>
      <c r="H362" s="71" t="s">
        <v>2745</v>
      </c>
      <c r="I362" s="67" t="s">
        <v>1414</v>
      </c>
      <c r="J362" s="73" t="s">
        <v>270</v>
      </c>
      <c r="K362" s="4">
        <v>2863110</v>
      </c>
      <c r="L362" s="41">
        <v>96.558000000000007</v>
      </c>
      <c r="M362" s="4">
        <v>2896740</v>
      </c>
      <c r="N362" s="4">
        <v>3000000</v>
      </c>
      <c r="O362" s="4">
        <v>2947448</v>
      </c>
      <c r="P362" s="4">
        <v>0</v>
      </c>
      <c r="Q362" s="4">
        <v>21917</v>
      </c>
      <c r="R362" s="4">
        <v>0</v>
      </c>
      <c r="S362" s="4">
        <v>0</v>
      </c>
      <c r="T362" s="23">
        <v>3.15</v>
      </c>
      <c r="U362" s="23">
        <v>3.972</v>
      </c>
      <c r="V362" s="5" t="s">
        <v>3895</v>
      </c>
      <c r="W362" s="4">
        <v>23625</v>
      </c>
      <c r="X362" s="4">
        <v>94500</v>
      </c>
      <c r="Y362" s="14">
        <v>43433</v>
      </c>
      <c r="Z362" s="14">
        <v>45748</v>
      </c>
      <c r="AA362" s="2"/>
      <c r="AB362" s="69" t="s">
        <v>3892</v>
      </c>
      <c r="AC362" s="5" t="s">
        <v>4178</v>
      </c>
      <c r="AD362" s="2"/>
      <c r="AE362" s="14">
        <v>45658</v>
      </c>
      <c r="AF362" s="23">
        <v>100</v>
      </c>
      <c r="AG362" s="10"/>
      <c r="AH362" s="5" t="s">
        <v>3694</v>
      </c>
      <c r="AI362" s="5" t="s">
        <v>1694</v>
      </c>
      <c r="AJ362" s="5" t="s">
        <v>2</v>
      </c>
      <c r="AK362" s="21" t="s">
        <v>2</v>
      </c>
      <c r="AL362" s="72" t="s">
        <v>3894</v>
      </c>
      <c r="AM362" s="54" t="s">
        <v>4179</v>
      </c>
      <c r="AN362" s="34" t="s">
        <v>512</v>
      </c>
    </row>
    <row r="363" spans="2:40" x14ac:dyDescent="0.3">
      <c r="B363" s="18" t="s">
        <v>4264</v>
      </c>
      <c r="C363" s="47" t="s">
        <v>2578</v>
      </c>
      <c r="D363" s="15" t="s">
        <v>2342</v>
      </c>
      <c r="E363" s="68" t="s">
        <v>2</v>
      </c>
      <c r="F363" s="55" t="s">
        <v>2</v>
      </c>
      <c r="G363" s="40" t="s">
        <v>2</v>
      </c>
      <c r="H363" s="71" t="s">
        <v>2745</v>
      </c>
      <c r="I363" s="67" t="s">
        <v>287</v>
      </c>
      <c r="J363" s="73" t="s">
        <v>874</v>
      </c>
      <c r="K363" s="4">
        <v>5000000</v>
      </c>
      <c r="L363" s="41">
        <v>105.91500000000001</v>
      </c>
      <c r="M363" s="4">
        <v>5295750</v>
      </c>
      <c r="N363" s="4">
        <v>5000000</v>
      </c>
      <c r="O363" s="4">
        <v>5000000</v>
      </c>
      <c r="P363" s="4">
        <v>0</v>
      </c>
      <c r="Q363" s="4">
        <v>0</v>
      </c>
      <c r="R363" s="4">
        <v>0</v>
      </c>
      <c r="S363" s="4">
        <v>0</v>
      </c>
      <c r="T363" s="23">
        <v>6.19</v>
      </c>
      <c r="U363" s="23">
        <v>6.19</v>
      </c>
      <c r="V363" s="5" t="s">
        <v>3898</v>
      </c>
      <c r="W363" s="4">
        <v>12896</v>
      </c>
      <c r="X363" s="4">
        <v>0</v>
      </c>
      <c r="Y363" s="14">
        <v>44911</v>
      </c>
      <c r="Z363" s="14">
        <v>48563</v>
      </c>
      <c r="AA363" s="2"/>
      <c r="AB363" s="69" t="s">
        <v>1671</v>
      </c>
      <c r="AC363" s="5" t="s">
        <v>2</v>
      </c>
      <c r="AD363" s="2"/>
      <c r="AE363" s="10"/>
      <c r="AF363" s="23"/>
      <c r="AG363" s="6"/>
      <c r="AH363" s="5" t="s">
        <v>1448</v>
      </c>
      <c r="AI363" s="5" t="s">
        <v>2342</v>
      </c>
      <c r="AJ363" s="5" t="s">
        <v>2</v>
      </c>
      <c r="AK363" s="21" t="s">
        <v>2</v>
      </c>
      <c r="AL363" s="72" t="s">
        <v>3894</v>
      </c>
      <c r="AM363" s="54" t="s">
        <v>4179</v>
      </c>
      <c r="AN363" s="34" t="s">
        <v>3695</v>
      </c>
    </row>
    <row r="364" spans="2:40" x14ac:dyDescent="0.3">
      <c r="B364" s="18" t="s">
        <v>1219</v>
      </c>
      <c r="C364" s="47" t="s">
        <v>1695</v>
      </c>
      <c r="D364" s="15" t="s">
        <v>1449</v>
      </c>
      <c r="E364" s="68" t="s">
        <v>2</v>
      </c>
      <c r="F364" s="55" t="s">
        <v>2</v>
      </c>
      <c r="G364" s="40" t="s">
        <v>2745</v>
      </c>
      <c r="H364" s="71" t="s">
        <v>2745</v>
      </c>
      <c r="I364" s="67" t="s">
        <v>287</v>
      </c>
      <c r="J364" s="73" t="s">
        <v>270</v>
      </c>
      <c r="K364" s="4">
        <v>10063344</v>
      </c>
      <c r="L364" s="41">
        <v>90.72</v>
      </c>
      <c r="M364" s="4">
        <v>9130968</v>
      </c>
      <c r="N364" s="4">
        <v>10065000</v>
      </c>
      <c r="O364" s="4">
        <v>10064147</v>
      </c>
      <c r="P364" s="4">
        <v>0</v>
      </c>
      <c r="Q364" s="4">
        <v>320</v>
      </c>
      <c r="R364" s="4">
        <v>0</v>
      </c>
      <c r="S364" s="4">
        <v>0</v>
      </c>
      <c r="T364" s="23">
        <v>1.3</v>
      </c>
      <c r="U364" s="23">
        <v>1.3029999999999999</v>
      </c>
      <c r="V364" s="5" t="s">
        <v>3898</v>
      </c>
      <c r="W364" s="4">
        <v>5815</v>
      </c>
      <c r="X364" s="4">
        <v>130845</v>
      </c>
      <c r="Y364" s="14">
        <v>43987</v>
      </c>
      <c r="Z364" s="14">
        <v>45823</v>
      </c>
      <c r="AA364" s="2"/>
      <c r="AB364" s="69" t="s">
        <v>3892</v>
      </c>
      <c r="AC364" s="5" t="s">
        <v>4178</v>
      </c>
      <c r="AD364" s="2"/>
      <c r="AE364" s="9">
        <v>45792</v>
      </c>
      <c r="AF364" s="23">
        <v>100</v>
      </c>
      <c r="AG364" s="9">
        <v>45792</v>
      </c>
      <c r="AH364" s="5" t="s">
        <v>1448</v>
      </c>
      <c r="AI364" s="5" t="s">
        <v>2342</v>
      </c>
      <c r="AJ364" s="5" t="s">
        <v>824</v>
      </c>
      <c r="AK364" s="21" t="s">
        <v>2</v>
      </c>
      <c r="AL364" s="72" t="s">
        <v>3894</v>
      </c>
      <c r="AM364" s="54" t="s">
        <v>4179</v>
      </c>
      <c r="AN364" s="34" t="s">
        <v>819</v>
      </c>
    </row>
    <row r="365" spans="2:40" x14ac:dyDescent="0.3">
      <c r="B365" s="18" t="s">
        <v>2343</v>
      </c>
      <c r="C365" s="47" t="s">
        <v>1450</v>
      </c>
      <c r="D365" s="15" t="s">
        <v>1220</v>
      </c>
      <c r="E365" s="68" t="s">
        <v>2</v>
      </c>
      <c r="F365" s="55" t="s">
        <v>2</v>
      </c>
      <c r="G365" s="40" t="s">
        <v>2745</v>
      </c>
      <c r="H365" s="71" t="s">
        <v>3894</v>
      </c>
      <c r="I365" s="67" t="s">
        <v>3408</v>
      </c>
      <c r="J365" s="73" t="s">
        <v>270</v>
      </c>
      <c r="K365" s="4">
        <v>4122071</v>
      </c>
      <c r="L365" s="41">
        <v>93.459000000000003</v>
      </c>
      <c r="M365" s="4">
        <v>3855184</v>
      </c>
      <c r="N365" s="4">
        <v>4125000</v>
      </c>
      <c r="O365" s="4">
        <v>4122212</v>
      </c>
      <c r="P365" s="4">
        <v>0</v>
      </c>
      <c r="Q365" s="4">
        <v>141</v>
      </c>
      <c r="R365" s="4">
        <v>0</v>
      </c>
      <c r="S365" s="4">
        <v>0</v>
      </c>
      <c r="T365" s="23">
        <v>4.1500000000000004</v>
      </c>
      <c r="U365" s="23">
        <v>4.1580000000000004</v>
      </c>
      <c r="V365" s="5" t="s">
        <v>10</v>
      </c>
      <c r="W365" s="4">
        <v>60867</v>
      </c>
      <c r="X365" s="4">
        <v>0</v>
      </c>
      <c r="Y365" s="14">
        <v>44789</v>
      </c>
      <c r="Z365" s="14">
        <v>48653</v>
      </c>
      <c r="AA365" s="2"/>
      <c r="AB365" s="69" t="s">
        <v>3892</v>
      </c>
      <c r="AC365" s="5" t="s">
        <v>4178</v>
      </c>
      <c r="AD365" s="2"/>
      <c r="AE365" s="14">
        <v>48563</v>
      </c>
      <c r="AF365" s="23">
        <v>100</v>
      </c>
      <c r="AG365" s="10"/>
      <c r="AH365" s="5" t="s">
        <v>2579</v>
      </c>
      <c r="AI365" s="5" t="s">
        <v>1220</v>
      </c>
      <c r="AJ365" s="5" t="s">
        <v>2</v>
      </c>
      <c r="AK365" s="21" t="s">
        <v>2</v>
      </c>
      <c r="AL365" s="72" t="s">
        <v>3894</v>
      </c>
      <c r="AM365" s="54" t="s">
        <v>4179</v>
      </c>
      <c r="AN365" s="34" t="s">
        <v>1650</v>
      </c>
    </row>
    <row r="366" spans="2:40" x14ac:dyDescent="0.3">
      <c r="B366" s="18" t="s">
        <v>4265</v>
      </c>
      <c r="C366" s="47" t="s">
        <v>3696</v>
      </c>
      <c r="D366" s="15" t="s">
        <v>1451</v>
      </c>
      <c r="E366" s="68" t="s">
        <v>2</v>
      </c>
      <c r="F366" s="55" t="s">
        <v>2</v>
      </c>
      <c r="G366" s="40" t="s">
        <v>2745</v>
      </c>
      <c r="H366" s="71" t="s">
        <v>2745</v>
      </c>
      <c r="I366" s="67" t="s">
        <v>287</v>
      </c>
      <c r="J366" s="73" t="s">
        <v>270</v>
      </c>
      <c r="K366" s="4">
        <v>13258400</v>
      </c>
      <c r="L366" s="41">
        <v>87.477000000000004</v>
      </c>
      <c r="M366" s="4">
        <v>11372010</v>
      </c>
      <c r="N366" s="4">
        <v>13000000</v>
      </c>
      <c r="O366" s="4">
        <v>13168894</v>
      </c>
      <c r="P366" s="4">
        <v>0</v>
      </c>
      <c r="Q366" s="4">
        <v>-35192</v>
      </c>
      <c r="R366" s="4">
        <v>0</v>
      </c>
      <c r="S366" s="4">
        <v>0</v>
      </c>
      <c r="T366" s="23">
        <v>1.8</v>
      </c>
      <c r="U366" s="23">
        <v>1.5069999999999999</v>
      </c>
      <c r="V366" s="5" t="s">
        <v>3895</v>
      </c>
      <c r="W366" s="4">
        <v>49400</v>
      </c>
      <c r="X366" s="4">
        <v>234000</v>
      </c>
      <c r="Y366" s="14">
        <v>43985</v>
      </c>
      <c r="Z366" s="14">
        <v>46675</v>
      </c>
      <c r="AA366" s="2"/>
      <c r="AB366" s="69" t="s">
        <v>3892</v>
      </c>
      <c r="AC366" s="5" t="s">
        <v>4178</v>
      </c>
      <c r="AD366" s="2"/>
      <c r="AE366" s="14">
        <v>46614</v>
      </c>
      <c r="AF366" s="23">
        <v>100</v>
      </c>
      <c r="AG366" s="9">
        <v>46614</v>
      </c>
      <c r="AH366" s="5" t="s">
        <v>1993</v>
      </c>
      <c r="AI366" s="5" t="s">
        <v>1451</v>
      </c>
      <c r="AJ366" s="5" t="s">
        <v>2</v>
      </c>
      <c r="AK366" s="21" t="s">
        <v>2</v>
      </c>
      <c r="AL366" s="72" t="s">
        <v>3894</v>
      </c>
      <c r="AM366" s="54" t="s">
        <v>4179</v>
      </c>
      <c r="AN366" s="34" t="s">
        <v>819</v>
      </c>
    </row>
    <row r="367" spans="2:40" x14ac:dyDescent="0.3">
      <c r="B367" s="18" t="s">
        <v>875</v>
      </c>
      <c r="C367" s="47" t="s">
        <v>324</v>
      </c>
      <c r="D367" s="15" t="s">
        <v>1451</v>
      </c>
      <c r="E367" s="68" t="s">
        <v>2</v>
      </c>
      <c r="F367" s="55" t="s">
        <v>2</v>
      </c>
      <c r="G367" s="40" t="s">
        <v>2745</v>
      </c>
      <c r="H367" s="71" t="s">
        <v>2745</v>
      </c>
      <c r="I367" s="67" t="s">
        <v>287</v>
      </c>
      <c r="J367" s="73" t="s">
        <v>270</v>
      </c>
      <c r="K367" s="4">
        <v>14768250</v>
      </c>
      <c r="L367" s="41">
        <v>85.165999999999997</v>
      </c>
      <c r="M367" s="4">
        <v>12774900</v>
      </c>
      <c r="N367" s="4">
        <v>15000000</v>
      </c>
      <c r="O367" s="4">
        <v>14795967</v>
      </c>
      <c r="P367" s="4">
        <v>0</v>
      </c>
      <c r="Q367" s="4">
        <v>27654</v>
      </c>
      <c r="R367" s="4">
        <v>0</v>
      </c>
      <c r="S367" s="4">
        <v>0</v>
      </c>
      <c r="T367" s="23">
        <v>2</v>
      </c>
      <c r="U367" s="23">
        <v>2.242</v>
      </c>
      <c r="V367" s="5" t="s">
        <v>3898</v>
      </c>
      <c r="W367" s="4">
        <v>8333</v>
      </c>
      <c r="X367" s="4">
        <v>300000</v>
      </c>
      <c r="Y367" s="14">
        <v>44606</v>
      </c>
      <c r="Z367" s="14">
        <v>47108</v>
      </c>
      <c r="AA367" s="2"/>
      <c r="AB367" s="69" t="s">
        <v>3892</v>
      </c>
      <c r="AC367" s="5" t="s">
        <v>4178</v>
      </c>
      <c r="AD367" s="2"/>
      <c r="AE367" s="14">
        <v>47047</v>
      </c>
      <c r="AF367" s="23">
        <v>100</v>
      </c>
      <c r="AG367" s="6"/>
      <c r="AH367" s="5" t="s">
        <v>1993</v>
      </c>
      <c r="AI367" s="5" t="s">
        <v>1451</v>
      </c>
      <c r="AJ367" s="5" t="s">
        <v>2</v>
      </c>
      <c r="AK367" s="21" t="s">
        <v>2</v>
      </c>
      <c r="AL367" s="72" t="s">
        <v>3894</v>
      </c>
      <c r="AM367" s="54" t="s">
        <v>4179</v>
      </c>
      <c r="AN367" s="34" t="s">
        <v>819</v>
      </c>
    </row>
    <row r="368" spans="2:40" x14ac:dyDescent="0.3">
      <c r="B368" s="18" t="s">
        <v>1994</v>
      </c>
      <c r="C368" s="47" t="s">
        <v>3697</v>
      </c>
      <c r="D368" s="15" t="s">
        <v>2580</v>
      </c>
      <c r="E368" s="68" t="s">
        <v>2</v>
      </c>
      <c r="F368" s="55" t="s">
        <v>2</v>
      </c>
      <c r="G368" s="40" t="s">
        <v>2745</v>
      </c>
      <c r="H368" s="71" t="s">
        <v>2745</v>
      </c>
      <c r="I368" s="67" t="s">
        <v>1164</v>
      </c>
      <c r="J368" s="73" t="s">
        <v>270</v>
      </c>
      <c r="K368" s="4">
        <v>34243602</v>
      </c>
      <c r="L368" s="41">
        <v>82.674000000000007</v>
      </c>
      <c r="M368" s="4">
        <v>28249706</v>
      </c>
      <c r="N368" s="4">
        <v>34170000</v>
      </c>
      <c r="O368" s="4">
        <v>34231349</v>
      </c>
      <c r="P368" s="4">
        <v>0</v>
      </c>
      <c r="Q368" s="4">
        <v>-7759</v>
      </c>
      <c r="R368" s="4">
        <v>0</v>
      </c>
      <c r="S368" s="4">
        <v>0</v>
      </c>
      <c r="T368" s="23">
        <v>2.1429999999999998</v>
      </c>
      <c r="U368" s="23">
        <v>2.1150000000000002</v>
      </c>
      <c r="V368" s="5" t="s">
        <v>10</v>
      </c>
      <c r="W368" s="4">
        <v>244088</v>
      </c>
      <c r="X368" s="4">
        <v>732263</v>
      </c>
      <c r="Y368" s="14">
        <v>44335</v>
      </c>
      <c r="Z368" s="14">
        <v>47727</v>
      </c>
      <c r="AA368" s="2"/>
      <c r="AB368" s="69" t="s">
        <v>3892</v>
      </c>
      <c r="AC368" s="5" t="s">
        <v>4178</v>
      </c>
      <c r="AD368" s="2"/>
      <c r="AE368" s="14">
        <v>47635</v>
      </c>
      <c r="AF368" s="23">
        <v>100</v>
      </c>
      <c r="AG368" s="14">
        <v>47635</v>
      </c>
      <c r="AH368" s="5" t="s">
        <v>1995</v>
      </c>
      <c r="AI368" s="5" t="s">
        <v>2580</v>
      </c>
      <c r="AJ368" s="5" t="s">
        <v>2</v>
      </c>
      <c r="AK368" s="21" t="s">
        <v>2</v>
      </c>
      <c r="AL368" s="72" t="s">
        <v>1921</v>
      </c>
      <c r="AM368" s="54" t="s">
        <v>4179</v>
      </c>
      <c r="AN368" s="34" t="s">
        <v>1625</v>
      </c>
    </row>
    <row r="369" spans="2:40" x14ac:dyDescent="0.3">
      <c r="B369" s="18" t="s">
        <v>3128</v>
      </c>
      <c r="C369" s="47" t="s">
        <v>1996</v>
      </c>
      <c r="D369" s="15" t="s">
        <v>3463</v>
      </c>
      <c r="E369" s="68" t="s">
        <v>2</v>
      </c>
      <c r="F369" s="55" t="s">
        <v>2</v>
      </c>
      <c r="G369" s="40" t="s">
        <v>2745</v>
      </c>
      <c r="H369" s="71" t="s">
        <v>825</v>
      </c>
      <c r="I369" s="67" t="s">
        <v>1164</v>
      </c>
      <c r="J369" s="73" t="s">
        <v>270</v>
      </c>
      <c r="K369" s="4">
        <v>2020000</v>
      </c>
      <c r="L369" s="41">
        <v>99.593999999999994</v>
      </c>
      <c r="M369" s="4">
        <v>1991880</v>
      </c>
      <c r="N369" s="4">
        <v>2000000</v>
      </c>
      <c r="O369" s="4">
        <v>1991880</v>
      </c>
      <c r="P369" s="4">
        <v>-8413</v>
      </c>
      <c r="Q369" s="4">
        <v>-3078</v>
      </c>
      <c r="R369" s="4">
        <v>0</v>
      </c>
      <c r="S369" s="4">
        <v>0</v>
      </c>
      <c r="T369" s="23">
        <v>5</v>
      </c>
      <c r="U369" s="23">
        <v>4.8449999999999998</v>
      </c>
      <c r="V369" s="5" t="s">
        <v>3895</v>
      </c>
      <c r="W369" s="4">
        <v>16944</v>
      </c>
      <c r="X369" s="4">
        <v>100000</v>
      </c>
      <c r="Y369" s="14">
        <v>42103</v>
      </c>
      <c r="Z369" s="14">
        <v>45046</v>
      </c>
      <c r="AA369" s="2"/>
      <c r="AB369" s="69" t="s">
        <v>3892</v>
      </c>
      <c r="AC369" s="5" t="s">
        <v>7</v>
      </c>
      <c r="AD369" s="2"/>
      <c r="AE369" s="14">
        <v>44956</v>
      </c>
      <c r="AF369" s="23">
        <v>100</v>
      </c>
      <c r="AG369" s="9">
        <v>44956</v>
      </c>
      <c r="AH369" s="5" t="s">
        <v>3129</v>
      </c>
      <c r="AI369" s="5" t="s">
        <v>3698</v>
      </c>
      <c r="AJ369" s="5" t="s">
        <v>1997</v>
      </c>
      <c r="AK369" s="21" t="s">
        <v>2</v>
      </c>
      <c r="AL369" s="72" t="s">
        <v>3894</v>
      </c>
      <c r="AM369" s="54" t="s">
        <v>4179</v>
      </c>
      <c r="AN369" s="34" t="s">
        <v>302</v>
      </c>
    </row>
    <row r="370" spans="2:40" x14ac:dyDescent="0.3">
      <c r="B370" s="18" t="s">
        <v>4266</v>
      </c>
      <c r="C370" s="47" t="s">
        <v>2810</v>
      </c>
      <c r="D370" s="15" t="s">
        <v>2811</v>
      </c>
      <c r="E370" s="68" t="s">
        <v>2</v>
      </c>
      <c r="F370" s="55" t="s">
        <v>2</v>
      </c>
      <c r="G370" s="40" t="s">
        <v>2745</v>
      </c>
      <c r="H370" s="71" t="s">
        <v>3894</v>
      </c>
      <c r="I370" s="67" t="s">
        <v>1164</v>
      </c>
      <c r="J370" s="73" t="s">
        <v>270</v>
      </c>
      <c r="K370" s="4">
        <v>4982300</v>
      </c>
      <c r="L370" s="41">
        <v>98.628</v>
      </c>
      <c r="M370" s="4">
        <v>4931400</v>
      </c>
      <c r="N370" s="4">
        <v>5000000</v>
      </c>
      <c r="O370" s="4">
        <v>4995178</v>
      </c>
      <c r="P370" s="4">
        <v>0</v>
      </c>
      <c r="Q370" s="4">
        <v>3556</v>
      </c>
      <c r="R370" s="4">
        <v>0</v>
      </c>
      <c r="S370" s="4">
        <v>0</v>
      </c>
      <c r="T370" s="23">
        <v>4.5</v>
      </c>
      <c r="U370" s="23">
        <v>4.5780000000000003</v>
      </c>
      <c r="V370" s="5" t="s">
        <v>3895</v>
      </c>
      <c r="W370" s="4">
        <v>47500</v>
      </c>
      <c r="X370" s="4">
        <v>225000</v>
      </c>
      <c r="Y370" s="14">
        <v>43473</v>
      </c>
      <c r="Z370" s="14">
        <v>45397</v>
      </c>
      <c r="AA370" s="2"/>
      <c r="AB370" s="69" t="s">
        <v>3892</v>
      </c>
      <c r="AC370" s="5" t="s">
        <v>4178</v>
      </c>
      <c r="AD370" s="2"/>
      <c r="AE370" s="14">
        <v>45366</v>
      </c>
      <c r="AF370" s="23">
        <v>100</v>
      </c>
      <c r="AG370" s="10"/>
      <c r="AH370" s="5" t="s">
        <v>3951</v>
      </c>
      <c r="AI370" s="5" t="s">
        <v>2811</v>
      </c>
      <c r="AJ370" s="5" t="s">
        <v>2</v>
      </c>
      <c r="AK370" s="21" t="s">
        <v>2</v>
      </c>
      <c r="AL370" s="72" t="s">
        <v>3894</v>
      </c>
      <c r="AM370" s="54" t="s">
        <v>4179</v>
      </c>
      <c r="AN370" s="34" t="s">
        <v>828</v>
      </c>
    </row>
    <row r="371" spans="2:40" x14ac:dyDescent="0.3">
      <c r="B371" s="18" t="s">
        <v>876</v>
      </c>
      <c r="C371" s="47" t="s">
        <v>877</v>
      </c>
      <c r="D371" s="15" t="s">
        <v>2811</v>
      </c>
      <c r="E371" s="68" t="s">
        <v>2</v>
      </c>
      <c r="F371" s="55" t="s">
        <v>2</v>
      </c>
      <c r="G371" s="40" t="s">
        <v>2745</v>
      </c>
      <c r="H371" s="71" t="s">
        <v>3894</v>
      </c>
      <c r="I371" s="67" t="s">
        <v>1164</v>
      </c>
      <c r="J371" s="73" t="s">
        <v>270</v>
      </c>
      <c r="K371" s="4">
        <v>8026500</v>
      </c>
      <c r="L371" s="41">
        <v>94.319000000000003</v>
      </c>
      <c r="M371" s="4">
        <v>7545520</v>
      </c>
      <c r="N371" s="4">
        <v>8000000</v>
      </c>
      <c r="O371" s="4">
        <v>8012146</v>
      </c>
      <c r="P371" s="4">
        <v>0</v>
      </c>
      <c r="Q371" s="4">
        <v>-5090</v>
      </c>
      <c r="R371" s="4">
        <v>0</v>
      </c>
      <c r="S371" s="4">
        <v>0</v>
      </c>
      <c r="T371" s="23">
        <v>2.9</v>
      </c>
      <c r="U371" s="23">
        <v>2.831</v>
      </c>
      <c r="V371" s="5" t="s">
        <v>3409</v>
      </c>
      <c r="W371" s="4">
        <v>29644</v>
      </c>
      <c r="X371" s="4">
        <v>232000</v>
      </c>
      <c r="Y371" s="14">
        <v>43873</v>
      </c>
      <c r="Z371" s="14">
        <v>45792</v>
      </c>
      <c r="AA371" s="2"/>
      <c r="AB371" s="69" t="s">
        <v>3892</v>
      </c>
      <c r="AC371" s="5" t="s">
        <v>4178</v>
      </c>
      <c r="AD371" s="2"/>
      <c r="AE371" s="9">
        <v>45762</v>
      </c>
      <c r="AF371" s="23">
        <v>100</v>
      </c>
      <c r="AG371" s="9">
        <v>45762</v>
      </c>
      <c r="AH371" s="5" t="s">
        <v>3951</v>
      </c>
      <c r="AI371" s="5" t="s">
        <v>2811</v>
      </c>
      <c r="AJ371" s="5" t="s">
        <v>2</v>
      </c>
      <c r="AK371" s="21" t="s">
        <v>2</v>
      </c>
      <c r="AL371" s="72" t="s">
        <v>3894</v>
      </c>
      <c r="AM371" s="54" t="s">
        <v>4179</v>
      </c>
      <c r="AN371" s="34" t="s">
        <v>828</v>
      </c>
    </row>
    <row r="372" spans="2:40" x14ac:dyDescent="0.3">
      <c r="B372" s="18" t="s">
        <v>1998</v>
      </c>
      <c r="C372" s="47" t="s">
        <v>878</v>
      </c>
      <c r="D372" s="15" t="s">
        <v>3699</v>
      </c>
      <c r="E372" s="68" t="s">
        <v>2</v>
      </c>
      <c r="F372" s="55" t="s">
        <v>2</v>
      </c>
      <c r="G372" s="40" t="s">
        <v>2745</v>
      </c>
      <c r="H372" s="71" t="s">
        <v>2745</v>
      </c>
      <c r="I372" s="67" t="s">
        <v>287</v>
      </c>
      <c r="J372" s="73" t="s">
        <v>270</v>
      </c>
      <c r="K372" s="4">
        <v>1483965</v>
      </c>
      <c r="L372" s="41">
        <v>96.266000000000005</v>
      </c>
      <c r="M372" s="4">
        <v>1443990</v>
      </c>
      <c r="N372" s="4">
        <v>1500000</v>
      </c>
      <c r="O372" s="4">
        <v>1492751</v>
      </c>
      <c r="P372" s="4">
        <v>0</v>
      </c>
      <c r="Q372" s="4">
        <v>2065</v>
      </c>
      <c r="R372" s="4">
        <v>0</v>
      </c>
      <c r="S372" s="4">
        <v>0</v>
      </c>
      <c r="T372" s="23">
        <v>3.5</v>
      </c>
      <c r="U372" s="23">
        <v>3.6589999999999998</v>
      </c>
      <c r="V372" s="5" t="s">
        <v>3895</v>
      </c>
      <c r="W372" s="4">
        <v>13125</v>
      </c>
      <c r="X372" s="4">
        <v>52500</v>
      </c>
      <c r="Y372" s="14">
        <v>43278</v>
      </c>
      <c r="Z372" s="14">
        <v>46113</v>
      </c>
      <c r="AA372" s="2"/>
      <c r="AB372" s="69" t="s">
        <v>3892</v>
      </c>
      <c r="AC372" s="5" t="s">
        <v>4178</v>
      </c>
      <c r="AD372" s="2"/>
      <c r="AE372" s="9">
        <v>46023</v>
      </c>
      <c r="AF372" s="23">
        <v>100</v>
      </c>
      <c r="AG372" s="6"/>
      <c r="AH372" s="5" t="s">
        <v>3464</v>
      </c>
      <c r="AI372" s="5" t="s">
        <v>1696</v>
      </c>
      <c r="AJ372" s="5" t="s">
        <v>4267</v>
      </c>
      <c r="AK372" s="21" t="s">
        <v>2</v>
      </c>
      <c r="AL372" s="72" t="s">
        <v>2745</v>
      </c>
      <c r="AM372" s="54" t="s">
        <v>4179</v>
      </c>
      <c r="AN372" s="34" t="s">
        <v>819</v>
      </c>
    </row>
    <row r="373" spans="2:40" x14ac:dyDescent="0.3">
      <c r="B373" s="18" t="s">
        <v>3465</v>
      </c>
      <c r="C373" s="47" t="s">
        <v>1452</v>
      </c>
      <c r="D373" s="15" t="s">
        <v>325</v>
      </c>
      <c r="E373" s="68" t="s">
        <v>2</v>
      </c>
      <c r="F373" s="55" t="s">
        <v>2</v>
      </c>
      <c r="G373" s="40" t="s">
        <v>2745</v>
      </c>
      <c r="H373" s="71" t="s">
        <v>3894</v>
      </c>
      <c r="I373" s="67" t="s">
        <v>1164</v>
      </c>
      <c r="J373" s="73" t="s">
        <v>270</v>
      </c>
      <c r="K373" s="4">
        <v>8828190</v>
      </c>
      <c r="L373" s="41">
        <v>91.37</v>
      </c>
      <c r="M373" s="4">
        <v>8223300</v>
      </c>
      <c r="N373" s="4">
        <v>9000000</v>
      </c>
      <c r="O373" s="4">
        <v>8841000</v>
      </c>
      <c r="P373" s="4">
        <v>0</v>
      </c>
      <c r="Q373" s="4">
        <v>12810</v>
      </c>
      <c r="R373" s="4">
        <v>0</v>
      </c>
      <c r="S373" s="4">
        <v>0</v>
      </c>
      <c r="T373" s="23">
        <v>4.75</v>
      </c>
      <c r="U373" s="23">
        <v>5.0789999999999997</v>
      </c>
      <c r="V373" s="5" t="s">
        <v>3895</v>
      </c>
      <c r="W373" s="4">
        <v>90250</v>
      </c>
      <c r="X373" s="4">
        <v>214938</v>
      </c>
      <c r="Y373" s="14">
        <v>44713</v>
      </c>
      <c r="Z373" s="14">
        <v>47223</v>
      </c>
      <c r="AA373" s="2"/>
      <c r="AB373" s="69" t="s">
        <v>3892</v>
      </c>
      <c r="AC373" s="5" t="s">
        <v>4178</v>
      </c>
      <c r="AD373" s="2"/>
      <c r="AE373" s="14">
        <v>47133</v>
      </c>
      <c r="AF373" s="23">
        <v>100</v>
      </c>
      <c r="AG373" s="6"/>
      <c r="AH373" s="5" t="s">
        <v>2</v>
      </c>
      <c r="AI373" s="5" t="s">
        <v>2344</v>
      </c>
      <c r="AJ373" s="5" t="s">
        <v>824</v>
      </c>
      <c r="AK373" s="21" t="s">
        <v>2</v>
      </c>
      <c r="AL373" s="72" t="s">
        <v>2745</v>
      </c>
      <c r="AM373" s="54" t="s">
        <v>4179</v>
      </c>
      <c r="AN373" s="34" t="s">
        <v>828</v>
      </c>
    </row>
    <row r="374" spans="2:40" x14ac:dyDescent="0.3">
      <c r="B374" s="18" t="s">
        <v>74</v>
      </c>
      <c r="C374" s="47" t="s">
        <v>2581</v>
      </c>
      <c r="D374" s="15" t="s">
        <v>2812</v>
      </c>
      <c r="E374" s="68" t="s">
        <v>2</v>
      </c>
      <c r="F374" s="55" t="s">
        <v>2</v>
      </c>
      <c r="G374" s="40" t="s">
        <v>2745</v>
      </c>
      <c r="H374" s="71" t="s">
        <v>3894</v>
      </c>
      <c r="I374" s="67" t="s">
        <v>8</v>
      </c>
      <c r="J374" s="73" t="s">
        <v>270</v>
      </c>
      <c r="K374" s="4">
        <v>8774101</v>
      </c>
      <c r="L374" s="41">
        <v>85.75</v>
      </c>
      <c r="M374" s="4">
        <v>7310188</v>
      </c>
      <c r="N374" s="4">
        <v>8525000</v>
      </c>
      <c r="O374" s="4">
        <v>8696094</v>
      </c>
      <c r="P374" s="4">
        <v>0</v>
      </c>
      <c r="Q374" s="4">
        <v>-37888</v>
      </c>
      <c r="R374" s="4">
        <v>0</v>
      </c>
      <c r="S374" s="4">
        <v>0</v>
      </c>
      <c r="T374" s="23">
        <v>1.8</v>
      </c>
      <c r="U374" s="23">
        <v>1.325</v>
      </c>
      <c r="V374" s="5" t="s">
        <v>1916</v>
      </c>
      <c r="W374" s="4">
        <v>70758</v>
      </c>
      <c r="X374" s="4">
        <v>153450</v>
      </c>
      <c r="Y374" s="14">
        <v>44167</v>
      </c>
      <c r="Z374" s="14">
        <v>46583</v>
      </c>
      <c r="AA374" s="2"/>
      <c r="AB374" s="69" t="s">
        <v>3892</v>
      </c>
      <c r="AC374" s="5" t="s">
        <v>4178</v>
      </c>
      <c r="AD374" s="2"/>
      <c r="AE374" s="14">
        <v>46522</v>
      </c>
      <c r="AF374" s="23">
        <v>100</v>
      </c>
      <c r="AG374" s="9">
        <v>46522</v>
      </c>
      <c r="AH374" s="5" t="s">
        <v>2</v>
      </c>
      <c r="AI374" s="5" t="s">
        <v>2812</v>
      </c>
      <c r="AJ374" s="5" t="s">
        <v>2</v>
      </c>
      <c r="AK374" s="21" t="s">
        <v>2</v>
      </c>
      <c r="AL374" s="72" t="s">
        <v>3894</v>
      </c>
      <c r="AM374" s="54" t="s">
        <v>4179</v>
      </c>
      <c r="AN374" s="34" t="s">
        <v>1189</v>
      </c>
    </row>
    <row r="375" spans="2:40" x14ac:dyDescent="0.3">
      <c r="B375" s="18" t="s">
        <v>1221</v>
      </c>
      <c r="C375" s="47" t="s">
        <v>2813</v>
      </c>
      <c r="D375" s="15" t="s">
        <v>2814</v>
      </c>
      <c r="E375" s="68" t="s">
        <v>2</v>
      </c>
      <c r="F375" s="55" t="s">
        <v>2</v>
      </c>
      <c r="G375" s="40" t="s">
        <v>2</v>
      </c>
      <c r="H375" s="71" t="s">
        <v>2745</v>
      </c>
      <c r="I375" s="67" t="s">
        <v>3660</v>
      </c>
      <c r="J375" s="73" t="s">
        <v>270</v>
      </c>
      <c r="K375" s="4">
        <v>6987190</v>
      </c>
      <c r="L375" s="41">
        <v>90.819000000000003</v>
      </c>
      <c r="M375" s="4">
        <v>6357330</v>
      </c>
      <c r="N375" s="4">
        <v>7000000</v>
      </c>
      <c r="O375" s="4">
        <v>6993438</v>
      </c>
      <c r="P375" s="4">
        <v>0</v>
      </c>
      <c r="Q375" s="4">
        <v>2543</v>
      </c>
      <c r="R375" s="4">
        <v>0</v>
      </c>
      <c r="S375" s="4">
        <v>0</v>
      </c>
      <c r="T375" s="23">
        <v>1.4</v>
      </c>
      <c r="U375" s="23">
        <v>1.4379999999999999</v>
      </c>
      <c r="V375" s="5" t="s">
        <v>1916</v>
      </c>
      <c r="W375" s="4">
        <v>47367</v>
      </c>
      <c r="X375" s="4">
        <v>98000</v>
      </c>
      <c r="Y375" s="14">
        <v>44011</v>
      </c>
      <c r="Z375" s="14">
        <v>45845</v>
      </c>
      <c r="AA375" s="2"/>
      <c r="AB375" s="69" t="s">
        <v>3892</v>
      </c>
      <c r="AC375" s="5" t="s">
        <v>4178</v>
      </c>
      <c r="AD375" s="2"/>
      <c r="AE375" s="6"/>
      <c r="AF375" s="23"/>
      <c r="AG375" s="6"/>
      <c r="AH375" s="5" t="s">
        <v>326</v>
      </c>
      <c r="AI375" s="5" t="s">
        <v>2345</v>
      </c>
      <c r="AJ375" s="5" t="s">
        <v>824</v>
      </c>
      <c r="AK375" s="21" t="s">
        <v>2</v>
      </c>
      <c r="AL375" s="72" t="s">
        <v>2745</v>
      </c>
      <c r="AM375" s="54" t="s">
        <v>4179</v>
      </c>
      <c r="AN375" s="34" t="s">
        <v>1170</v>
      </c>
    </row>
    <row r="376" spans="2:40" x14ac:dyDescent="0.3">
      <c r="B376" s="18" t="s">
        <v>3130</v>
      </c>
      <c r="C376" s="47" t="s">
        <v>1222</v>
      </c>
      <c r="D376" s="15" t="s">
        <v>3131</v>
      </c>
      <c r="E376" s="68" t="s">
        <v>2</v>
      </c>
      <c r="F376" s="55" t="s">
        <v>2</v>
      </c>
      <c r="G376" s="40" t="s">
        <v>2745</v>
      </c>
      <c r="H376" s="71" t="s">
        <v>2745</v>
      </c>
      <c r="I376" s="67" t="s">
        <v>3660</v>
      </c>
      <c r="J376" s="73" t="s">
        <v>270</v>
      </c>
      <c r="K376" s="4">
        <v>4971050</v>
      </c>
      <c r="L376" s="41">
        <v>94.888999999999996</v>
      </c>
      <c r="M376" s="4">
        <v>4744450</v>
      </c>
      <c r="N376" s="4">
        <v>5000000</v>
      </c>
      <c r="O376" s="4">
        <v>4988608</v>
      </c>
      <c r="P376" s="4">
        <v>0</v>
      </c>
      <c r="Q376" s="4">
        <v>5764</v>
      </c>
      <c r="R376" s="4">
        <v>0</v>
      </c>
      <c r="S376" s="4">
        <v>0</v>
      </c>
      <c r="T376" s="23">
        <v>2</v>
      </c>
      <c r="U376" s="23">
        <v>2.1219999999999999</v>
      </c>
      <c r="V376" s="5" t="s">
        <v>3898</v>
      </c>
      <c r="W376" s="4">
        <v>8333</v>
      </c>
      <c r="X376" s="4">
        <v>100000</v>
      </c>
      <c r="Y376" s="14">
        <v>43788</v>
      </c>
      <c r="Z376" s="14">
        <v>45627</v>
      </c>
      <c r="AA376" s="2"/>
      <c r="AB376" s="69" t="s">
        <v>3892</v>
      </c>
      <c r="AC376" s="5" t="s">
        <v>4178</v>
      </c>
      <c r="AD376" s="2"/>
      <c r="AE376" s="9">
        <v>45597</v>
      </c>
      <c r="AF376" s="23">
        <v>100</v>
      </c>
      <c r="AG376" s="6"/>
      <c r="AH376" s="5" t="s">
        <v>2346</v>
      </c>
      <c r="AI376" s="5" t="s">
        <v>3131</v>
      </c>
      <c r="AJ376" s="5" t="s">
        <v>2</v>
      </c>
      <c r="AK376" s="21" t="s">
        <v>2</v>
      </c>
      <c r="AL376" s="72" t="s">
        <v>3894</v>
      </c>
      <c r="AM376" s="54" t="s">
        <v>4179</v>
      </c>
      <c r="AN376" s="34" t="s">
        <v>1170</v>
      </c>
    </row>
    <row r="377" spans="2:40" x14ac:dyDescent="0.3">
      <c r="B377" s="18" t="s">
        <v>4268</v>
      </c>
      <c r="C377" s="47" t="s">
        <v>1697</v>
      </c>
      <c r="D377" s="15" t="s">
        <v>75</v>
      </c>
      <c r="E377" s="68" t="s">
        <v>2</v>
      </c>
      <c r="F377" s="55" t="s">
        <v>2</v>
      </c>
      <c r="G377" s="40" t="s">
        <v>2745</v>
      </c>
      <c r="H377" s="71" t="s">
        <v>3894</v>
      </c>
      <c r="I377" s="67" t="s">
        <v>3408</v>
      </c>
      <c r="J377" s="73" t="s">
        <v>270</v>
      </c>
      <c r="K377" s="4">
        <v>4981900</v>
      </c>
      <c r="L377" s="41">
        <v>98.875</v>
      </c>
      <c r="M377" s="4">
        <v>4943750</v>
      </c>
      <c r="N377" s="4">
        <v>5000000</v>
      </c>
      <c r="O377" s="4">
        <v>4996386</v>
      </c>
      <c r="P377" s="4">
        <v>0</v>
      </c>
      <c r="Q377" s="4">
        <v>3803</v>
      </c>
      <c r="R377" s="4">
        <v>0</v>
      </c>
      <c r="S377" s="4">
        <v>0</v>
      </c>
      <c r="T377" s="23">
        <v>3.8</v>
      </c>
      <c r="U377" s="23">
        <v>3.8809999999999998</v>
      </c>
      <c r="V377" s="5" t="s">
        <v>3898</v>
      </c>
      <c r="W377" s="4">
        <v>15833</v>
      </c>
      <c r="X377" s="4">
        <v>190000</v>
      </c>
      <c r="Y377" s="14">
        <v>43444</v>
      </c>
      <c r="Z377" s="14">
        <v>45261</v>
      </c>
      <c r="AA377" s="2"/>
      <c r="AB377" s="69" t="s">
        <v>3892</v>
      </c>
      <c r="AC377" s="5" t="s">
        <v>4178</v>
      </c>
      <c r="AD377" s="2"/>
      <c r="AE377" s="9">
        <v>45231</v>
      </c>
      <c r="AF377" s="23">
        <v>100</v>
      </c>
      <c r="AG377" s="6"/>
      <c r="AH377" s="5" t="s">
        <v>3700</v>
      </c>
      <c r="AI377" s="5" t="s">
        <v>75</v>
      </c>
      <c r="AJ377" s="5" t="s">
        <v>2</v>
      </c>
      <c r="AK377" s="21" t="s">
        <v>2</v>
      </c>
      <c r="AL377" s="72" t="s">
        <v>3894</v>
      </c>
      <c r="AM377" s="54" t="s">
        <v>4179</v>
      </c>
      <c r="AN377" s="34" t="s">
        <v>1650</v>
      </c>
    </row>
    <row r="378" spans="2:40" x14ac:dyDescent="0.3">
      <c r="B378" s="18" t="s">
        <v>879</v>
      </c>
      <c r="C378" s="47" t="s">
        <v>3701</v>
      </c>
      <c r="D378" s="15" t="s">
        <v>1223</v>
      </c>
      <c r="E378" s="68" t="s">
        <v>2</v>
      </c>
      <c r="F378" s="55" t="s">
        <v>2</v>
      </c>
      <c r="G378" s="40" t="s">
        <v>2</v>
      </c>
      <c r="H378" s="71" t="s">
        <v>2745</v>
      </c>
      <c r="I378" s="67" t="s">
        <v>287</v>
      </c>
      <c r="J378" s="73" t="s">
        <v>2</v>
      </c>
      <c r="K378" s="4">
        <v>14000000</v>
      </c>
      <c r="L378" s="41">
        <v>76.073999999999998</v>
      </c>
      <c r="M378" s="4">
        <v>10650360</v>
      </c>
      <c r="N378" s="4">
        <v>14000000</v>
      </c>
      <c r="O378" s="4">
        <v>14000000</v>
      </c>
      <c r="P378" s="4">
        <v>0</v>
      </c>
      <c r="Q378" s="4">
        <v>0</v>
      </c>
      <c r="R378" s="4">
        <v>0</v>
      </c>
      <c r="S378" s="4">
        <v>0</v>
      </c>
      <c r="T378" s="23">
        <v>2.11</v>
      </c>
      <c r="U378" s="23">
        <v>2.11</v>
      </c>
      <c r="V378" s="5" t="s">
        <v>3895</v>
      </c>
      <c r="W378" s="4">
        <v>73850</v>
      </c>
      <c r="X378" s="4">
        <v>297041</v>
      </c>
      <c r="Y378" s="14">
        <v>44468</v>
      </c>
      <c r="Z378" s="14">
        <v>48122</v>
      </c>
      <c r="AA378" s="2"/>
      <c r="AB378" s="69" t="s">
        <v>1671</v>
      </c>
      <c r="AC378" s="5" t="s">
        <v>2</v>
      </c>
      <c r="AD378" s="2"/>
      <c r="AE378" s="6"/>
      <c r="AF378" s="23"/>
      <c r="AG378" s="6"/>
      <c r="AH378" s="5" t="s">
        <v>2</v>
      </c>
      <c r="AI378" s="5" t="s">
        <v>557</v>
      </c>
      <c r="AJ378" s="5" t="s">
        <v>557</v>
      </c>
      <c r="AK378" s="21" t="s">
        <v>2</v>
      </c>
      <c r="AL378" s="72" t="s">
        <v>2745</v>
      </c>
      <c r="AM378" s="54" t="s">
        <v>4179</v>
      </c>
      <c r="AN378" s="34" t="s">
        <v>3946</v>
      </c>
    </row>
    <row r="379" spans="2:40" x14ac:dyDescent="0.3">
      <c r="B379" s="18" t="s">
        <v>1999</v>
      </c>
      <c r="C379" s="47" t="s">
        <v>3466</v>
      </c>
      <c r="D379" s="15" t="s">
        <v>2000</v>
      </c>
      <c r="E379" s="68" t="s">
        <v>2</v>
      </c>
      <c r="F379" s="55" t="s">
        <v>2</v>
      </c>
      <c r="G379" s="40" t="s">
        <v>2745</v>
      </c>
      <c r="H379" s="71" t="s">
        <v>3894</v>
      </c>
      <c r="I379" s="67" t="s">
        <v>1164</v>
      </c>
      <c r="J379" s="73" t="s">
        <v>270</v>
      </c>
      <c r="K379" s="4">
        <v>4495465</v>
      </c>
      <c r="L379" s="41">
        <v>93.313000000000002</v>
      </c>
      <c r="M379" s="4">
        <v>4199085</v>
      </c>
      <c r="N379" s="4">
        <v>4500000</v>
      </c>
      <c r="O379" s="4">
        <v>4497476</v>
      </c>
      <c r="P379" s="4">
        <v>0</v>
      </c>
      <c r="Q379" s="4">
        <v>624</v>
      </c>
      <c r="R379" s="4">
        <v>0</v>
      </c>
      <c r="S379" s="4">
        <v>0</v>
      </c>
      <c r="T379" s="23">
        <v>3.2</v>
      </c>
      <c r="U379" s="23">
        <v>3.2160000000000002</v>
      </c>
      <c r="V379" s="5" t="s">
        <v>3895</v>
      </c>
      <c r="W379" s="4">
        <v>36000</v>
      </c>
      <c r="X379" s="4">
        <v>144000</v>
      </c>
      <c r="Y379" s="14">
        <v>43725</v>
      </c>
      <c r="Z379" s="14">
        <v>46296</v>
      </c>
      <c r="AA379" s="2"/>
      <c r="AB379" s="69" t="s">
        <v>3892</v>
      </c>
      <c r="AC379" s="5" t="s">
        <v>4178</v>
      </c>
      <c r="AD379" s="2"/>
      <c r="AE379" s="9">
        <v>46235</v>
      </c>
      <c r="AF379" s="23">
        <v>100</v>
      </c>
      <c r="AG379" s="6"/>
      <c r="AH379" s="5" t="s">
        <v>2</v>
      </c>
      <c r="AI379" s="5" t="s">
        <v>2000</v>
      </c>
      <c r="AJ379" s="5" t="s">
        <v>2</v>
      </c>
      <c r="AK379" s="21" t="s">
        <v>2</v>
      </c>
      <c r="AL379" s="72" t="s">
        <v>3894</v>
      </c>
      <c r="AM379" s="54" t="s">
        <v>4179</v>
      </c>
      <c r="AN379" s="34" t="s">
        <v>828</v>
      </c>
    </row>
    <row r="380" spans="2:40" x14ac:dyDescent="0.3">
      <c r="B380" s="18" t="s">
        <v>3132</v>
      </c>
      <c r="C380" s="47" t="s">
        <v>4269</v>
      </c>
      <c r="D380" s="15" t="s">
        <v>3467</v>
      </c>
      <c r="E380" s="68" t="s">
        <v>2</v>
      </c>
      <c r="F380" s="55" t="s">
        <v>2</v>
      </c>
      <c r="G380" s="40" t="s">
        <v>2745</v>
      </c>
      <c r="H380" s="71" t="s">
        <v>3894</v>
      </c>
      <c r="I380" s="67" t="s">
        <v>8</v>
      </c>
      <c r="J380" s="73" t="s">
        <v>270</v>
      </c>
      <c r="K380" s="4">
        <v>4474035</v>
      </c>
      <c r="L380" s="41">
        <v>83.284999999999997</v>
      </c>
      <c r="M380" s="4">
        <v>3747825</v>
      </c>
      <c r="N380" s="4">
        <v>4500000</v>
      </c>
      <c r="O380" s="4">
        <v>4480528</v>
      </c>
      <c r="P380" s="4">
        <v>0</v>
      </c>
      <c r="Q380" s="4">
        <v>3572</v>
      </c>
      <c r="R380" s="4">
        <v>0</v>
      </c>
      <c r="S380" s="4">
        <v>0</v>
      </c>
      <c r="T380" s="23">
        <v>1.65</v>
      </c>
      <c r="U380" s="23">
        <v>1.738</v>
      </c>
      <c r="V380" s="5" t="s">
        <v>10</v>
      </c>
      <c r="W380" s="4">
        <v>24750</v>
      </c>
      <c r="X380" s="4">
        <v>74250</v>
      </c>
      <c r="Y380" s="14">
        <v>44250</v>
      </c>
      <c r="Z380" s="14">
        <v>46813</v>
      </c>
      <c r="AA380" s="2"/>
      <c r="AB380" s="69" t="s">
        <v>3892</v>
      </c>
      <c r="AC380" s="5" t="s">
        <v>4178</v>
      </c>
      <c r="AD380" s="2"/>
      <c r="AE380" s="14">
        <v>46753</v>
      </c>
      <c r="AF380" s="23">
        <v>100</v>
      </c>
      <c r="AG380" s="10"/>
      <c r="AH380" s="5" t="s">
        <v>2</v>
      </c>
      <c r="AI380" s="5" t="s">
        <v>4270</v>
      </c>
      <c r="AJ380" s="5" t="s">
        <v>4270</v>
      </c>
      <c r="AK380" s="21" t="s">
        <v>2</v>
      </c>
      <c r="AL380" s="72" t="s">
        <v>3894</v>
      </c>
      <c r="AM380" s="54" t="s">
        <v>4179</v>
      </c>
      <c r="AN380" s="34" t="s">
        <v>1189</v>
      </c>
    </row>
    <row r="381" spans="2:40" x14ac:dyDescent="0.3">
      <c r="B381" s="18" t="s">
        <v>76</v>
      </c>
      <c r="C381" s="47" t="s">
        <v>1224</v>
      </c>
      <c r="D381" s="15" t="s">
        <v>3467</v>
      </c>
      <c r="E381" s="68" t="s">
        <v>2</v>
      </c>
      <c r="F381" s="55" t="s">
        <v>2</v>
      </c>
      <c r="G381" s="40" t="s">
        <v>2745</v>
      </c>
      <c r="H381" s="71" t="s">
        <v>3894</v>
      </c>
      <c r="I381" s="67" t="s">
        <v>8</v>
      </c>
      <c r="J381" s="73" t="s">
        <v>270</v>
      </c>
      <c r="K381" s="4">
        <v>4992050</v>
      </c>
      <c r="L381" s="41">
        <v>97.775999999999996</v>
      </c>
      <c r="M381" s="4">
        <v>4888800</v>
      </c>
      <c r="N381" s="4">
        <v>5000000</v>
      </c>
      <c r="O381" s="4">
        <v>4992728</v>
      </c>
      <c r="P381" s="4">
        <v>0</v>
      </c>
      <c r="Q381" s="4">
        <v>678</v>
      </c>
      <c r="R381" s="4">
        <v>0</v>
      </c>
      <c r="S381" s="4">
        <v>0</v>
      </c>
      <c r="T381" s="23">
        <v>4.7</v>
      </c>
      <c r="U381" s="23">
        <v>4.7359999999999998</v>
      </c>
      <c r="V381" s="5" t="s">
        <v>1916</v>
      </c>
      <c r="W381" s="4">
        <v>109667</v>
      </c>
      <c r="X381" s="4">
        <v>0</v>
      </c>
      <c r="Y381" s="14">
        <v>44748</v>
      </c>
      <c r="Z381" s="14">
        <v>46583</v>
      </c>
      <c r="AA381" s="2"/>
      <c r="AB381" s="69" t="s">
        <v>3892</v>
      </c>
      <c r="AC381" s="5" t="s">
        <v>4178</v>
      </c>
      <c r="AD381" s="2"/>
      <c r="AE381" s="14">
        <v>46553</v>
      </c>
      <c r="AF381" s="23">
        <v>100</v>
      </c>
      <c r="AG381" s="6"/>
      <c r="AH381" s="5" t="s">
        <v>2</v>
      </c>
      <c r="AI381" s="5" t="s">
        <v>4270</v>
      </c>
      <c r="AJ381" s="5" t="s">
        <v>4270</v>
      </c>
      <c r="AK381" s="21" t="s">
        <v>2</v>
      </c>
      <c r="AL381" s="72" t="s">
        <v>3894</v>
      </c>
      <c r="AM381" s="54" t="s">
        <v>4179</v>
      </c>
      <c r="AN381" s="34" t="s">
        <v>1189</v>
      </c>
    </row>
    <row r="382" spans="2:40" x14ac:dyDescent="0.3">
      <c r="B382" s="18" t="s">
        <v>1225</v>
      </c>
      <c r="C382" s="47" t="s">
        <v>3702</v>
      </c>
      <c r="D382" s="15" t="s">
        <v>3952</v>
      </c>
      <c r="E382" s="68" t="s">
        <v>2</v>
      </c>
      <c r="F382" s="55" t="s">
        <v>2</v>
      </c>
      <c r="G382" s="40" t="s">
        <v>2745</v>
      </c>
      <c r="H382" s="71" t="s">
        <v>3894</v>
      </c>
      <c r="I382" s="67" t="s">
        <v>3408</v>
      </c>
      <c r="J382" s="73" t="s">
        <v>270</v>
      </c>
      <c r="K382" s="4">
        <v>4990150</v>
      </c>
      <c r="L382" s="41">
        <v>90.168000000000006</v>
      </c>
      <c r="M382" s="4">
        <v>4508400</v>
      </c>
      <c r="N382" s="4">
        <v>5000000</v>
      </c>
      <c r="O382" s="4">
        <v>4993681</v>
      </c>
      <c r="P382" s="4">
        <v>0</v>
      </c>
      <c r="Q382" s="4">
        <v>1358</v>
      </c>
      <c r="R382" s="4">
        <v>0</v>
      </c>
      <c r="S382" s="4">
        <v>0</v>
      </c>
      <c r="T382" s="23">
        <v>2.5499999999999998</v>
      </c>
      <c r="U382" s="23">
        <v>2.581</v>
      </c>
      <c r="V382" s="5" t="s">
        <v>3409</v>
      </c>
      <c r="W382" s="4">
        <v>19833</v>
      </c>
      <c r="X382" s="4">
        <v>127500</v>
      </c>
      <c r="Y382" s="14">
        <v>43951</v>
      </c>
      <c r="Z382" s="14">
        <v>46512</v>
      </c>
      <c r="AA382" s="2"/>
      <c r="AB382" s="69" t="s">
        <v>3892</v>
      </c>
      <c r="AC382" s="5" t="s">
        <v>4178</v>
      </c>
      <c r="AD382" s="2"/>
      <c r="AE382" s="14">
        <v>46482</v>
      </c>
      <c r="AF382" s="23">
        <v>100</v>
      </c>
      <c r="AG382" s="6"/>
      <c r="AH382" s="5" t="s">
        <v>1453</v>
      </c>
      <c r="AI382" s="5" t="s">
        <v>3952</v>
      </c>
      <c r="AJ382" s="5" t="s">
        <v>2</v>
      </c>
      <c r="AK382" s="21" t="s">
        <v>2</v>
      </c>
      <c r="AL382" s="72" t="s">
        <v>3894</v>
      </c>
      <c r="AM382" s="54" t="s">
        <v>4179</v>
      </c>
      <c r="AN382" s="34" t="s">
        <v>1650</v>
      </c>
    </row>
    <row r="383" spans="2:40" x14ac:dyDescent="0.3">
      <c r="B383" s="18" t="s">
        <v>2347</v>
      </c>
      <c r="C383" s="47" t="s">
        <v>327</v>
      </c>
      <c r="D383" s="15" t="s">
        <v>3952</v>
      </c>
      <c r="E383" s="68" t="s">
        <v>2</v>
      </c>
      <c r="F383" s="55" t="s">
        <v>2</v>
      </c>
      <c r="G383" s="40" t="s">
        <v>3894</v>
      </c>
      <c r="H383" s="71" t="s">
        <v>3894</v>
      </c>
      <c r="I383" s="67" t="s">
        <v>3408</v>
      </c>
      <c r="J383" s="73" t="s">
        <v>270</v>
      </c>
      <c r="K383" s="4">
        <v>3000000</v>
      </c>
      <c r="L383" s="41">
        <v>95.492999999999995</v>
      </c>
      <c r="M383" s="4">
        <v>2864790</v>
      </c>
      <c r="N383" s="4">
        <v>3000000</v>
      </c>
      <c r="O383" s="4">
        <v>3000000</v>
      </c>
      <c r="P383" s="4">
        <v>0</v>
      </c>
      <c r="Q383" s="4">
        <v>0</v>
      </c>
      <c r="R383" s="4">
        <v>0</v>
      </c>
      <c r="S383" s="4">
        <v>0</v>
      </c>
      <c r="T383" s="23">
        <v>4.7720000000000002</v>
      </c>
      <c r="U383" s="23">
        <v>4.74</v>
      </c>
      <c r="V383" s="5" t="s">
        <v>1916</v>
      </c>
      <c r="W383" s="4">
        <v>60843</v>
      </c>
      <c r="X383" s="4">
        <v>0</v>
      </c>
      <c r="Y383" s="14">
        <v>44767</v>
      </c>
      <c r="Z383" s="14">
        <v>47692</v>
      </c>
      <c r="AA383" s="2"/>
      <c r="AB383" s="69" t="s">
        <v>3892</v>
      </c>
      <c r="AC383" s="5" t="s">
        <v>4178</v>
      </c>
      <c r="AD383" s="2"/>
      <c r="AE383" s="14">
        <v>47327</v>
      </c>
      <c r="AF383" s="23">
        <v>100</v>
      </c>
      <c r="AG383" s="10"/>
      <c r="AH383" s="5" t="s">
        <v>1453</v>
      </c>
      <c r="AI383" s="5" t="s">
        <v>3952</v>
      </c>
      <c r="AJ383" s="5" t="s">
        <v>2</v>
      </c>
      <c r="AK383" s="21" t="s">
        <v>2</v>
      </c>
      <c r="AL383" s="72" t="s">
        <v>3894</v>
      </c>
      <c r="AM383" s="54" t="s">
        <v>4179</v>
      </c>
      <c r="AN383" s="34" t="s">
        <v>1650</v>
      </c>
    </row>
    <row r="384" spans="2:40" x14ac:dyDescent="0.3">
      <c r="B384" s="18" t="s">
        <v>3468</v>
      </c>
      <c r="C384" s="47" t="s">
        <v>2582</v>
      </c>
      <c r="D384" s="15" t="s">
        <v>1226</v>
      </c>
      <c r="E384" s="68" t="s">
        <v>2</v>
      </c>
      <c r="F384" s="55" t="s">
        <v>2</v>
      </c>
      <c r="G384" s="40" t="s">
        <v>3894</v>
      </c>
      <c r="H384" s="71" t="s">
        <v>2745</v>
      </c>
      <c r="I384" s="67" t="s">
        <v>1414</v>
      </c>
      <c r="J384" s="73" t="s">
        <v>270</v>
      </c>
      <c r="K384" s="4">
        <v>5098400</v>
      </c>
      <c r="L384" s="41">
        <v>98.447000000000003</v>
      </c>
      <c r="M384" s="4">
        <v>4922350</v>
      </c>
      <c r="N384" s="4">
        <v>5000000</v>
      </c>
      <c r="O384" s="4">
        <v>5041353</v>
      </c>
      <c r="P384" s="4">
        <v>0</v>
      </c>
      <c r="Q384" s="4">
        <v>-15848</v>
      </c>
      <c r="R384" s="4">
        <v>0</v>
      </c>
      <c r="S384" s="4">
        <v>0</v>
      </c>
      <c r="T384" s="23">
        <v>3.95</v>
      </c>
      <c r="U384" s="23">
        <v>3.5939999999999999</v>
      </c>
      <c r="V384" s="5" t="s">
        <v>1916</v>
      </c>
      <c r="W384" s="4">
        <v>83938</v>
      </c>
      <c r="X384" s="4">
        <v>197500</v>
      </c>
      <c r="Y384" s="14">
        <v>43553</v>
      </c>
      <c r="Z384" s="14">
        <v>45866</v>
      </c>
      <c r="AA384" s="2"/>
      <c r="AB384" s="69" t="s">
        <v>3892</v>
      </c>
      <c r="AC384" s="5" t="s">
        <v>4178</v>
      </c>
      <c r="AD384" s="2"/>
      <c r="AE384" s="14">
        <v>45836</v>
      </c>
      <c r="AF384" s="23">
        <v>100</v>
      </c>
      <c r="AG384" s="9">
        <v>45836</v>
      </c>
      <c r="AH384" s="5" t="s">
        <v>3133</v>
      </c>
      <c r="AI384" s="5" t="s">
        <v>1226</v>
      </c>
      <c r="AJ384" s="5" t="s">
        <v>2</v>
      </c>
      <c r="AK384" s="21" t="s">
        <v>2</v>
      </c>
      <c r="AL384" s="72" t="s">
        <v>3894</v>
      </c>
      <c r="AM384" s="54" t="s">
        <v>4179</v>
      </c>
      <c r="AN384" s="34" t="s">
        <v>512</v>
      </c>
    </row>
    <row r="385" spans="2:40" x14ac:dyDescent="0.3">
      <c r="B385" s="18" t="s">
        <v>77</v>
      </c>
      <c r="C385" s="47" t="s">
        <v>1698</v>
      </c>
      <c r="D385" s="15" t="s">
        <v>3134</v>
      </c>
      <c r="E385" s="68" t="s">
        <v>2</v>
      </c>
      <c r="F385" s="55" t="s">
        <v>2</v>
      </c>
      <c r="G385" s="40" t="s">
        <v>2745</v>
      </c>
      <c r="H385" s="71" t="s">
        <v>2745</v>
      </c>
      <c r="I385" s="67" t="s">
        <v>1414</v>
      </c>
      <c r="J385" s="73" t="s">
        <v>270</v>
      </c>
      <c r="K385" s="4">
        <v>4996450</v>
      </c>
      <c r="L385" s="41">
        <v>90.364000000000004</v>
      </c>
      <c r="M385" s="4">
        <v>4518200</v>
      </c>
      <c r="N385" s="4">
        <v>5000000</v>
      </c>
      <c r="O385" s="4">
        <v>4997864</v>
      </c>
      <c r="P385" s="4">
        <v>0</v>
      </c>
      <c r="Q385" s="4">
        <v>494</v>
      </c>
      <c r="R385" s="4">
        <v>0</v>
      </c>
      <c r="S385" s="4">
        <v>0</v>
      </c>
      <c r="T385" s="23">
        <v>2.25</v>
      </c>
      <c r="U385" s="23">
        <v>2.2610000000000001</v>
      </c>
      <c r="V385" s="5" t="s">
        <v>268</v>
      </c>
      <c r="W385" s="4">
        <v>46875</v>
      </c>
      <c r="X385" s="4">
        <v>112500</v>
      </c>
      <c r="Y385" s="14">
        <v>43858</v>
      </c>
      <c r="Z385" s="14">
        <v>46419</v>
      </c>
      <c r="AA385" s="2"/>
      <c r="AB385" s="69" t="s">
        <v>3892</v>
      </c>
      <c r="AC385" s="5" t="s">
        <v>4178</v>
      </c>
      <c r="AD385" s="2"/>
      <c r="AE385" s="14">
        <v>46388</v>
      </c>
      <c r="AF385" s="23">
        <v>100</v>
      </c>
      <c r="AG385" s="10"/>
      <c r="AH385" s="5" t="s">
        <v>3133</v>
      </c>
      <c r="AI385" s="5" t="s">
        <v>3134</v>
      </c>
      <c r="AJ385" s="5" t="s">
        <v>2</v>
      </c>
      <c r="AK385" s="21" t="s">
        <v>2</v>
      </c>
      <c r="AL385" s="72" t="s">
        <v>3894</v>
      </c>
      <c r="AM385" s="54" t="s">
        <v>4179</v>
      </c>
      <c r="AN385" s="34" t="s">
        <v>512</v>
      </c>
    </row>
    <row r="386" spans="2:40" x14ac:dyDescent="0.3">
      <c r="B386" s="18" t="s">
        <v>2001</v>
      </c>
      <c r="C386" s="47" t="s">
        <v>3135</v>
      </c>
      <c r="D386" s="15" t="s">
        <v>328</v>
      </c>
      <c r="E386" s="68" t="s">
        <v>2</v>
      </c>
      <c r="F386" s="55" t="s">
        <v>2</v>
      </c>
      <c r="G386" s="40" t="s">
        <v>2745</v>
      </c>
      <c r="H386" s="71" t="s">
        <v>3894</v>
      </c>
      <c r="I386" s="67" t="s">
        <v>8</v>
      </c>
      <c r="J386" s="73" t="s">
        <v>270</v>
      </c>
      <c r="K386" s="4">
        <v>4952600</v>
      </c>
      <c r="L386" s="41">
        <v>97.119</v>
      </c>
      <c r="M386" s="4">
        <v>4855950</v>
      </c>
      <c r="N386" s="4">
        <v>5000000</v>
      </c>
      <c r="O386" s="4">
        <v>4980842</v>
      </c>
      <c r="P386" s="4">
        <v>0</v>
      </c>
      <c r="Q386" s="4">
        <v>7406</v>
      </c>
      <c r="R386" s="4">
        <v>0</v>
      </c>
      <c r="S386" s="4">
        <v>0</v>
      </c>
      <c r="T386" s="23">
        <v>3.85</v>
      </c>
      <c r="U386" s="23">
        <v>4.0179999999999998</v>
      </c>
      <c r="V386" s="5" t="s">
        <v>3898</v>
      </c>
      <c r="W386" s="4">
        <v>16042</v>
      </c>
      <c r="X386" s="4">
        <v>192500</v>
      </c>
      <c r="Y386" s="14">
        <v>43451</v>
      </c>
      <c r="Z386" s="14">
        <v>45809</v>
      </c>
      <c r="AA386" s="2"/>
      <c r="AB386" s="69" t="s">
        <v>3892</v>
      </c>
      <c r="AC386" s="5" t="s">
        <v>4178</v>
      </c>
      <c r="AD386" s="2"/>
      <c r="AE386" s="14">
        <v>45717</v>
      </c>
      <c r="AF386" s="23">
        <v>100</v>
      </c>
      <c r="AG386" s="6"/>
      <c r="AH386" s="5" t="s">
        <v>3136</v>
      </c>
      <c r="AI386" s="5" t="s">
        <v>328</v>
      </c>
      <c r="AJ386" s="5" t="s">
        <v>2</v>
      </c>
      <c r="AK386" s="21" t="s">
        <v>2</v>
      </c>
      <c r="AL386" s="72" t="s">
        <v>3894</v>
      </c>
      <c r="AM386" s="54" t="s">
        <v>4179</v>
      </c>
      <c r="AN386" s="34" t="s">
        <v>1189</v>
      </c>
    </row>
    <row r="387" spans="2:40" x14ac:dyDescent="0.3">
      <c r="B387" s="18" t="s">
        <v>3137</v>
      </c>
      <c r="C387" s="47" t="s">
        <v>1227</v>
      </c>
      <c r="D387" s="15" t="s">
        <v>328</v>
      </c>
      <c r="E387" s="68" t="s">
        <v>2</v>
      </c>
      <c r="F387" s="55" t="s">
        <v>2</v>
      </c>
      <c r="G387" s="40" t="s">
        <v>2745</v>
      </c>
      <c r="H387" s="71" t="s">
        <v>3894</v>
      </c>
      <c r="I387" s="67" t="s">
        <v>8</v>
      </c>
      <c r="J387" s="73" t="s">
        <v>270</v>
      </c>
      <c r="K387" s="4">
        <v>3499755</v>
      </c>
      <c r="L387" s="41">
        <v>93.775999999999996</v>
      </c>
      <c r="M387" s="4">
        <v>3282160</v>
      </c>
      <c r="N387" s="4">
        <v>3500000</v>
      </c>
      <c r="O387" s="4">
        <v>3499880</v>
      </c>
      <c r="P387" s="4">
        <v>0</v>
      </c>
      <c r="Q387" s="4">
        <v>32</v>
      </c>
      <c r="R387" s="4">
        <v>0</v>
      </c>
      <c r="S387" s="4">
        <v>0</v>
      </c>
      <c r="T387" s="23">
        <v>3.2</v>
      </c>
      <c r="U387" s="23">
        <v>3.2010000000000001</v>
      </c>
      <c r="V387" s="5" t="s">
        <v>1916</v>
      </c>
      <c r="W387" s="4">
        <v>56000</v>
      </c>
      <c r="X387" s="4">
        <v>112000</v>
      </c>
      <c r="Y387" s="14">
        <v>43626</v>
      </c>
      <c r="Z387" s="14">
        <v>46204</v>
      </c>
      <c r="AA387" s="2"/>
      <c r="AB387" s="69" t="s">
        <v>3892</v>
      </c>
      <c r="AC387" s="5" t="s">
        <v>4178</v>
      </c>
      <c r="AD387" s="2"/>
      <c r="AE387" s="9">
        <v>46143</v>
      </c>
      <c r="AF387" s="23">
        <v>100</v>
      </c>
      <c r="AG387" s="6"/>
      <c r="AH387" s="5" t="s">
        <v>3136</v>
      </c>
      <c r="AI387" s="5" t="s">
        <v>328</v>
      </c>
      <c r="AJ387" s="5" t="s">
        <v>2</v>
      </c>
      <c r="AK387" s="21" t="s">
        <v>2</v>
      </c>
      <c r="AL387" s="72" t="s">
        <v>3894</v>
      </c>
      <c r="AM387" s="54" t="s">
        <v>4179</v>
      </c>
      <c r="AN387" s="34" t="s">
        <v>1189</v>
      </c>
    </row>
    <row r="388" spans="2:40" x14ac:dyDescent="0.3">
      <c r="B388" s="18" t="s">
        <v>4271</v>
      </c>
      <c r="C388" s="47" t="s">
        <v>4272</v>
      </c>
      <c r="D388" s="15" t="s">
        <v>328</v>
      </c>
      <c r="E388" s="68" t="s">
        <v>2</v>
      </c>
      <c r="F388" s="55" t="s">
        <v>2</v>
      </c>
      <c r="G388" s="40" t="s">
        <v>2745</v>
      </c>
      <c r="H388" s="71" t="s">
        <v>3894</v>
      </c>
      <c r="I388" s="67" t="s">
        <v>8</v>
      </c>
      <c r="J388" s="73" t="s">
        <v>270</v>
      </c>
      <c r="K388" s="4">
        <v>5120650</v>
      </c>
      <c r="L388" s="41">
        <v>90.262</v>
      </c>
      <c r="M388" s="4">
        <v>4513100</v>
      </c>
      <c r="N388" s="4">
        <v>5000000</v>
      </c>
      <c r="O388" s="4">
        <v>5107232</v>
      </c>
      <c r="P388" s="4">
        <v>0</v>
      </c>
      <c r="Q388" s="4">
        <v>-13418</v>
      </c>
      <c r="R388" s="4">
        <v>0</v>
      </c>
      <c r="S388" s="4">
        <v>0</v>
      </c>
      <c r="T388" s="23">
        <v>3.5</v>
      </c>
      <c r="U388" s="23">
        <v>3.1190000000000002</v>
      </c>
      <c r="V388" s="5" t="s">
        <v>1916</v>
      </c>
      <c r="W388" s="4">
        <v>87500</v>
      </c>
      <c r="X388" s="4">
        <v>87500</v>
      </c>
      <c r="Y388" s="14">
        <v>44602</v>
      </c>
      <c r="Z388" s="14">
        <v>47300</v>
      </c>
      <c r="AA388" s="2"/>
      <c r="AB388" s="69" t="s">
        <v>3892</v>
      </c>
      <c r="AC388" s="5" t="s">
        <v>4178</v>
      </c>
      <c r="AD388" s="2"/>
      <c r="AE388" s="9">
        <v>47209</v>
      </c>
      <c r="AF388" s="23">
        <v>100</v>
      </c>
      <c r="AG388" s="9">
        <v>47209</v>
      </c>
      <c r="AH388" s="5" t="s">
        <v>3136</v>
      </c>
      <c r="AI388" s="5" t="s">
        <v>328</v>
      </c>
      <c r="AJ388" s="5" t="s">
        <v>2</v>
      </c>
      <c r="AK388" s="21" t="s">
        <v>2</v>
      </c>
      <c r="AL388" s="72" t="s">
        <v>3894</v>
      </c>
      <c r="AM388" s="54" t="s">
        <v>4179</v>
      </c>
      <c r="AN388" s="34" t="s">
        <v>1189</v>
      </c>
    </row>
    <row r="389" spans="2:40" x14ac:dyDescent="0.3">
      <c r="B389" s="18" t="s">
        <v>880</v>
      </c>
      <c r="C389" s="47" t="s">
        <v>2815</v>
      </c>
      <c r="D389" s="15" t="s">
        <v>328</v>
      </c>
      <c r="E389" s="68" t="s">
        <v>2</v>
      </c>
      <c r="F389" s="55" t="s">
        <v>2</v>
      </c>
      <c r="G389" s="40" t="s">
        <v>2745</v>
      </c>
      <c r="H389" s="71" t="s">
        <v>3894</v>
      </c>
      <c r="I389" s="67" t="s">
        <v>8</v>
      </c>
      <c r="J389" s="73" t="s">
        <v>270</v>
      </c>
      <c r="K389" s="4">
        <v>3997360</v>
      </c>
      <c r="L389" s="41">
        <v>89.352999999999994</v>
      </c>
      <c r="M389" s="4">
        <v>3574120</v>
      </c>
      <c r="N389" s="4">
        <v>4000000</v>
      </c>
      <c r="O389" s="4">
        <v>3998315</v>
      </c>
      <c r="P389" s="4">
        <v>0</v>
      </c>
      <c r="Q389" s="4">
        <v>359</v>
      </c>
      <c r="R389" s="4">
        <v>0</v>
      </c>
      <c r="S389" s="4">
        <v>0</v>
      </c>
      <c r="T389" s="23">
        <v>2.25</v>
      </c>
      <c r="U389" s="23">
        <v>2.2599999999999998</v>
      </c>
      <c r="V389" s="5" t="s">
        <v>3898</v>
      </c>
      <c r="W389" s="4">
        <v>7500</v>
      </c>
      <c r="X389" s="4">
        <v>90000</v>
      </c>
      <c r="Y389" s="14">
        <v>43962</v>
      </c>
      <c r="Z389" s="14">
        <v>46539</v>
      </c>
      <c r="AA389" s="2"/>
      <c r="AB389" s="69" t="s">
        <v>3892</v>
      </c>
      <c r="AC389" s="5" t="s">
        <v>4178</v>
      </c>
      <c r="AD389" s="2"/>
      <c r="AE389" s="14">
        <v>46478</v>
      </c>
      <c r="AF389" s="23">
        <v>100</v>
      </c>
      <c r="AG389" s="10"/>
      <c r="AH389" s="5" t="s">
        <v>3136</v>
      </c>
      <c r="AI389" s="5" t="s">
        <v>328</v>
      </c>
      <c r="AJ389" s="5" t="s">
        <v>2</v>
      </c>
      <c r="AK389" s="21" t="s">
        <v>2</v>
      </c>
      <c r="AL389" s="72" t="s">
        <v>3894</v>
      </c>
      <c r="AM389" s="54" t="s">
        <v>4179</v>
      </c>
      <c r="AN389" s="34" t="s">
        <v>1189</v>
      </c>
    </row>
    <row r="390" spans="2:40" x14ac:dyDescent="0.3">
      <c r="B390" s="18" t="s">
        <v>2348</v>
      </c>
      <c r="C390" s="47" t="s">
        <v>4273</v>
      </c>
      <c r="D390" s="15" t="s">
        <v>1228</v>
      </c>
      <c r="E390" s="68" t="s">
        <v>2</v>
      </c>
      <c r="F390" s="55" t="s">
        <v>2</v>
      </c>
      <c r="G390" s="40" t="s">
        <v>2745</v>
      </c>
      <c r="H390" s="71" t="s">
        <v>3894</v>
      </c>
      <c r="I390" s="67" t="s">
        <v>8</v>
      </c>
      <c r="J390" s="73" t="s">
        <v>270</v>
      </c>
      <c r="K390" s="4">
        <v>5051270</v>
      </c>
      <c r="L390" s="41">
        <v>97.239000000000004</v>
      </c>
      <c r="M390" s="4">
        <v>4861950</v>
      </c>
      <c r="N390" s="4">
        <v>5000000</v>
      </c>
      <c r="O390" s="4">
        <v>5020258</v>
      </c>
      <c r="P390" s="4">
        <v>0</v>
      </c>
      <c r="Q390" s="4">
        <v>-8147</v>
      </c>
      <c r="R390" s="4">
        <v>0</v>
      </c>
      <c r="S390" s="4">
        <v>0</v>
      </c>
      <c r="T390" s="23">
        <v>4.3499999999999996</v>
      </c>
      <c r="U390" s="23">
        <v>4.165</v>
      </c>
      <c r="V390" s="5" t="s">
        <v>1916</v>
      </c>
      <c r="W390" s="4">
        <v>100292</v>
      </c>
      <c r="X390" s="4">
        <v>217500</v>
      </c>
      <c r="Y390" s="14">
        <v>43438</v>
      </c>
      <c r="Z390" s="14">
        <v>45853</v>
      </c>
      <c r="AA390" s="2"/>
      <c r="AB390" s="69" t="s">
        <v>3892</v>
      </c>
      <c r="AC390" s="5" t="s">
        <v>4178</v>
      </c>
      <c r="AD390" s="2"/>
      <c r="AE390" s="14">
        <v>45762</v>
      </c>
      <c r="AF390" s="23">
        <v>100</v>
      </c>
      <c r="AG390" s="9">
        <v>45762</v>
      </c>
      <c r="AH390" s="5" t="s">
        <v>3138</v>
      </c>
      <c r="AI390" s="5" t="s">
        <v>2816</v>
      </c>
      <c r="AJ390" s="5" t="s">
        <v>824</v>
      </c>
      <c r="AK390" s="21" t="s">
        <v>2</v>
      </c>
      <c r="AL390" s="72" t="s">
        <v>3894</v>
      </c>
      <c r="AM390" s="54" t="s">
        <v>4179</v>
      </c>
      <c r="AN390" s="34" t="s">
        <v>1189</v>
      </c>
    </row>
    <row r="391" spans="2:40" x14ac:dyDescent="0.3">
      <c r="B391" s="18" t="s">
        <v>3469</v>
      </c>
      <c r="C391" s="47" t="s">
        <v>2349</v>
      </c>
      <c r="D391" s="15" t="s">
        <v>1228</v>
      </c>
      <c r="E391" s="68" t="s">
        <v>2</v>
      </c>
      <c r="F391" s="55" t="s">
        <v>2</v>
      </c>
      <c r="G391" s="40" t="s">
        <v>2745</v>
      </c>
      <c r="H391" s="71" t="s">
        <v>3894</v>
      </c>
      <c r="I391" s="67" t="s">
        <v>8</v>
      </c>
      <c r="J391" s="73" t="s">
        <v>270</v>
      </c>
      <c r="K391" s="4">
        <v>5146550</v>
      </c>
      <c r="L391" s="41">
        <v>81.084000000000003</v>
      </c>
      <c r="M391" s="4">
        <v>4054200</v>
      </c>
      <c r="N391" s="4">
        <v>5000000</v>
      </c>
      <c r="O391" s="4">
        <v>5126212</v>
      </c>
      <c r="P391" s="4">
        <v>0</v>
      </c>
      <c r="Q391" s="4">
        <v>-15898</v>
      </c>
      <c r="R391" s="4">
        <v>0</v>
      </c>
      <c r="S391" s="4">
        <v>0</v>
      </c>
      <c r="T391" s="23">
        <v>2.5499999999999998</v>
      </c>
      <c r="U391" s="23">
        <v>2.1720000000000002</v>
      </c>
      <c r="V391" s="5" t="s">
        <v>1916</v>
      </c>
      <c r="W391" s="4">
        <v>63750</v>
      </c>
      <c r="X391" s="4">
        <v>127500</v>
      </c>
      <c r="Y391" s="14">
        <v>44454</v>
      </c>
      <c r="Z391" s="14">
        <v>47665</v>
      </c>
      <c r="AA391" s="2"/>
      <c r="AB391" s="69" t="s">
        <v>3892</v>
      </c>
      <c r="AC391" s="5" t="s">
        <v>4178</v>
      </c>
      <c r="AD391" s="2"/>
      <c r="AE391" s="14">
        <v>47574</v>
      </c>
      <c r="AF391" s="23">
        <v>100</v>
      </c>
      <c r="AG391" s="9">
        <v>47574</v>
      </c>
      <c r="AH391" s="5" t="s">
        <v>3138</v>
      </c>
      <c r="AI391" s="5" t="s">
        <v>2816</v>
      </c>
      <c r="AJ391" s="5" t="s">
        <v>824</v>
      </c>
      <c r="AK391" s="21" t="s">
        <v>2</v>
      </c>
      <c r="AL391" s="72" t="s">
        <v>3894</v>
      </c>
      <c r="AM391" s="54" t="s">
        <v>4179</v>
      </c>
      <c r="AN391" s="34" t="s">
        <v>1189</v>
      </c>
    </row>
    <row r="392" spans="2:40" x14ac:dyDescent="0.3">
      <c r="B392" s="18" t="s">
        <v>78</v>
      </c>
      <c r="C392" s="47" t="s">
        <v>558</v>
      </c>
      <c r="D392" s="15" t="s">
        <v>3703</v>
      </c>
      <c r="E392" s="68" t="s">
        <v>2</v>
      </c>
      <c r="F392" s="55" t="s">
        <v>2</v>
      </c>
      <c r="G392" s="40" t="s">
        <v>2</v>
      </c>
      <c r="H392" s="71" t="s">
        <v>3894</v>
      </c>
      <c r="I392" s="67" t="s">
        <v>8</v>
      </c>
      <c r="J392" s="73" t="s">
        <v>2312</v>
      </c>
      <c r="K392" s="4">
        <v>4666923</v>
      </c>
      <c r="L392" s="41">
        <v>82.787999999999997</v>
      </c>
      <c r="M392" s="4">
        <v>3863653</v>
      </c>
      <c r="N392" s="4">
        <v>4666923</v>
      </c>
      <c r="O392" s="4">
        <v>4666923</v>
      </c>
      <c r="P392" s="4">
        <v>0</v>
      </c>
      <c r="Q392" s="4">
        <v>0</v>
      </c>
      <c r="R392" s="4">
        <v>0</v>
      </c>
      <c r="S392" s="4">
        <v>0</v>
      </c>
      <c r="T392" s="23">
        <v>2.92</v>
      </c>
      <c r="U392" s="23">
        <v>2.92</v>
      </c>
      <c r="V392" s="5" t="s">
        <v>268</v>
      </c>
      <c r="W392" s="4">
        <v>51481</v>
      </c>
      <c r="X392" s="4">
        <v>147630</v>
      </c>
      <c r="Y392" s="14">
        <v>44392</v>
      </c>
      <c r="Z392" s="14">
        <v>50632</v>
      </c>
      <c r="AA392" s="2"/>
      <c r="AB392" s="69" t="s">
        <v>2783</v>
      </c>
      <c r="AC392" s="5" t="s">
        <v>2</v>
      </c>
      <c r="AD392" s="2"/>
      <c r="AE392" s="10"/>
      <c r="AF392" s="23"/>
      <c r="AG392" s="6"/>
      <c r="AH392" s="5" t="s">
        <v>2</v>
      </c>
      <c r="AI392" s="5" t="s">
        <v>3703</v>
      </c>
      <c r="AJ392" s="5" t="s">
        <v>2</v>
      </c>
      <c r="AK392" s="21" t="s">
        <v>2</v>
      </c>
      <c r="AL392" s="72" t="s">
        <v>2745</v>
      </c>
      <c r="AM392" s="54" t="s">
        <v>4179</v>
      </c>
      <c r="AN392" s="34" t="s">
        <v>3085</v>
      </c>
    </row>
    <row r="393" spans="2:40" x14ac:dyDescent="0.3">
      <c r="B393" s="18" t="s">
        <v>1229</v>
      </c>
      <c r="C393" s="47" t="s">
        <v>3704</v>
      </c>
      <c r="D393" s="15" t="s">
        <v>2350</v>
      </c>
      <c r="E393" s="68" t="s">
        <v>2</v>
      </c>
      <c r="F393" s="55" t="s">
        <v>2</v>
      </c>
      <c r="G393" s="40" t="s">
        <v>2</v>
      </c>
      <c r="H393" s="71" t="s">
        <v>2745</v>
      </c>
      <c r="I393" s="67" t="s">
        <v>287</v>
      </c>
      <c r="J393" s="73" t="s">
        <v>270</v>
      </c>
      <c r="K393" s="4">
        <v>5000000</v>
      </c>
      <c r="L393" s="41">
        <v>97.582999999999998</v>
      </c>
      <c r="M393" s="4">
        <v>4879150</v>
      </c>
      <c r="N393" s="4">
        <v>5000000</v>
      </c>
      <c r="O393" s="4">
        <v>5000000</v>
      </c>
      <c r="P393" s="4">
        <v>0</v>
      </c>
      <c r="Q393" s="4">
        <v>0</v>
      </c>
      <c r="R393" s="4">
        <v>0</v>
      </c>
      <c r="S393" s="4">
        <v>0</v>
      </c>
      <c r="T393" s="23">
        <v>3.87</v>
      </c>
      <c r="U393" s="23">
        <v>3.8330000000000002</v>
      </c>
      <c r="V393" s="5" t="s">
        <v>2351</v>
      </c>
      <c r="W393" s="4">
        <v>46225</v>
      </c>
      <c r="X393" s="4">
        <v>193500</v>
      </c>
      <c r="Y393" s="14">
        <v>43327</v>
      </c>
      <c r="Z393" s="14">
        <v>45935</v>
      </c>
      <c r="AA393" s="2"/>
      <c r="AB393" s="69" t="s">
        <v>2783</v>
      </c>
      <c r="AC393" s="5" t="s">
        <v>2</v>
      </c>
      <c r="AD393" s="2"/>
      <c r="AE393" s="10"/>
      <c r="AF393" s="23"/>
      <c r="AG393" s="6"/>
      <c r="AH393" s="5" t="s">
        <v>2</v>
      </c>
      <c r="AI393" s="5" t="s">
        <v>559</v>
      </c>
      <c r="AJ393" s="5" t="s">
        <v>559</v>
      </c>
      <c r="AK393" s="21" t="s">
        <v>2</v>
      </c>
      <c r="AL393" s="72" t="s">
        <v>2745</v>
      </c>
      <c r="AM393" s="54" t="s">
        <v>4179</v>
      </c>
      <c r="AN393" s="34" t="s">
        <v>819</v>
      </c>
    </row>
    <row r="394" spans="2:40" x14ac:dyDescent="0.3">
      <c r="B394" s="18" t="s">
        <v>2352</v>
      </c>
      <c r="C394" s="47" t="s">
        <v>2817</v>
      </c>
      <c r="D394" s="15" t="s">
        <v>3470</v>
      </c>
      <c r="E394" s="68" t="s">
        <v>2</v>
      </c>
      <c r="F394" s="55" t="s">
        <v>2</v>
      </c>
      <c r="G394" s="40" t="s">
        <v>2</v>
      </c>
      <c r="H394" s="71" t="s">
        <v>2745</v>
      </c>
      <c r="I394" s="67" t="s">
        <v>287</v>
      </c>
      <c r="J394" s="73" t="s">
        <v>270</v>
      </c>
      <c r="K394" s="4">
        <v>15044520</v>
      </c>
      <c r="L394" s="41">
        <v>92.353999999999999</v>
      </c>
      <c r="M394" s="4">
        <v>13853100</v>
      </c>
      <c r="N394" s="4">
        <v>15000000</v>
      </c>
      <c r="O394" s="4">
        <v>15031813</v>
      </c>
      <c r="P394" s="4">
        <v>0</v>
      </c>
      <c r="Q394" s="4">
        <v>-6172</v>
      </c>
      <c r="R394" s="4">
        <v>0</v>
      </c>
      <c r="S394" s="4">
        <v>0</v>
      </c>
      <c r="T394" s="23">
        <v>2.97</v>
      </c>
      <c r="U394" s="23">
        <v>2.9159999999999999</v>
      </c>
      <c r="V394" s="5" t="s">
        <v>2351</v>
      </c>
      <c r="W394" s="4">
        <v>106425</v>
      </c>
      <c r="X394" s="4">
        <v>445500</v>
      </c>
      <c r="Y394" s="14">
        <v>44145</v>
      </c>
      <c r="Z394" s="14">
        <v>46665</v>
      </c>
      <c r="AA394" s="2"/>
      <c r="AB394" s="69" t="s">
        <v>2783</v>
      </c>
      <c r="AC394" s="5" t="s">
        <v>2</v>
      </c>
      <c r="AD394" s="2"/>
      <c r="AE394" s="10"/>
      <c r="AF394" s="23"/>
      <c r="AG394" s="6"/>
      <c r="AH394" s="5" t="s">
        <v>2</v>
      </c>
      <c r="AI394" s="5" t="s">
        <v>881</v>
      </c>
      <c r="AJ394" s="5" t="s">
        <v>881</v>
      </c>
      <c r="AK394" s="21" t="s">
        <v>2</v>
      </c>
      <c r="AL394" s="72" t="s">
        <v>2745</v>
      </c>
      <c r="AM394" s="54" t="s">
        <v>4179</v>
      </c>
      <c r="AN394" s="34" t="s">
        <v>819</v>
      </c>
    </row>
    <row r="395" spans="2:40" x14ac:dyDescent="0.3">
      <c r="B395" s="18" t="s">
        <v>3471</v>
      </c>
      <c r="C395" s="47" t="s">
        <v>3953</v>
      </c>
      <c r="D395" s="15" t="s">
        <v>3470</v>
      </c>
      <c r="E395" s="68" t="s">
        <v>2</v>
      </c>
      <c r="F395" s="55" t="s">
        <v>2</v>
      </c>
      <c r="G395" s="40" t="s">
        <v>2</v>
      </c>
      <c r="H395" s="71" t="s">
        <v>2745</v>
      </c>
      <c r="I395" s="67" t="s">
        <v>287</v>
      </c>
      <c r="J395" s="73" t="s">
        <v>270</v>
      </c>
      <c r="K395" s="4">
        <v>4000000</v>
      </c>
      <c r="L395" s="41">
        <v>92.355000000000004</v>
      </c>
      <c r="M395" s="4">
        <v>3694200</v>
      </c>
      <c r="N395" s="4">
        <v>4000000</v>
      </c>
      <c r="O395" s="4">
        <v>4000000</v>
      </c>
      <c r="P395" s="4">
        <v>0</v>
      </c>
      <c r="Q395" s="4">
        <v>0</v>
      </c>
      <c r="R395" s="4">
        <v>0</v>
      </c>
      <c r="S395" s="4">
        <v>0</v>
      </c>
      <c r="T395" s="23">
        <v>2.97</v>
      </c>
      <c r="U395" s="23">
        <v>2.97</v>
      </c>
      <c r="V395" s="5" t="s">
        <v>2351</v>
      </c>
      <c r="W395" s="4">
        <v>28380</v>
      </c>
      <c r="X395" s="4">
        <v>118800</v>
      </c>
      <c r="Y395" s="14">
        <v>44106</v>
      </c>
      <c r="Z395" s="14">
        <v>46665</v>
      </c>
      <c r="AA395" s="2"/>
      <c r="AB395" s="69" t="s">
        <v>2783</v>
      </c>
      <c r="AC395" s="5" t="s">
        <v>2</v>
      </c>
      <c r="AD395" s="2"/>
      <c r="AE395" s="10"/>
      <c r="AF395" s="23"/>
      <c r="AG395" s="10"/>
      <c r="AH395" s="5" t="s">
        <v>2</v>
      </c>
      <c r="AI395" s="5" t="s">
        <v>881</v>
      </c>
      <c r="AJ395" s="5" t="s">
        <v>881</v>
      </c>
      <c r="AK395" s="21" t="s">
        <v>2</v>
      </c>
      <c r="AL395" s="72" t="s">
        <v>2745</v>
      </c>
      <c r="AM395" s="54" t="s">
        <v>4179</v>
      </c>
      <c r="AN395" s="34" t="s">
        <v>819</v>
      </c>
    </row>
    <row r="396" spans="2:40" x14ac:dyDescent="0.3">
      <c r="B396" s="18" t="s">
        <v>560</v>
      </c>
      <c r="C396" s="47" t="s">
        <v>1454</v>
      </c>
      <c r="D396" s="15" t="s">
        <v>3954</v>
      </c>
      <c r="E396" s="68" t="s">
        <v>2</v>
      </c>
      <c r="F396" s="55" t="s">
        <v>2</v>
      </c>
      <c r="G396" s="40" t="s">
        <v>2</v>
      </c>
      <c r="H396" s="71" t="s">
        <v>2745</v>
      </c>
      <c r="I396" s="67" t="s">
        <v>287</v>
      </c>
      <c r="J396" s="73" t="s">
        <v>270</v>
      </c>
      <c r="K396" s="4">
        <v>4000000</v>
      </c>
      <c r="L396" s="41">
        <v>96.72</v>
      </c>
      <c r="M396" s="4">
        <v>3868800</v>
      </c>
      <c r="N396" s="4">
        <v>4000000</v>
      </c>
      <c r="O396" s="4">
        <v>4000000</v>
      </c>
      <c r="P396" s="4">
        <v>0</v>
      </c>
      <c r="Q396" s="4">
        <v>0</v>
      </c>
      <c r="R396" s="4">
        <v>0</v>
      </c>
      <c r="S396" s="4">
        <v>0</v>
      </c>
      <c r="T396" s="23">
        <v>3.07</v>
      </c>
      <c r="U396" s="23">
        <v>3.07</v>
      </c>
      <c r="V396" s="5" t="s">
        <v>2351</v>
      </c>
      <c r="W396" s="4">
        <v>30018</v>
      </c>
      <c r="X396" s="4">
        <v>124506</v>
      </c>
      <c r="Y396" s="14">
        <v>42976</v>
      </c>
      <c r="Z396" s="14">
        <v>45570</v>
      </c>
      <c r="AA396" s="2"/>
      <c r="AB396" s="69" t="s">
        <v>2783</v>
      </c>
      <c r="AC396" s="5" t="s">
        <v>2</v>
      </c>
      <c r="AD396" s="2"/>
      <c r="AE396" s="10"/>
      <c r="AF396" s="23"/>
      <c r="AG396" s="10"/>
      <c r="AH396" s="5" t="s">
        <v>2</v>
      </c>
      <c r="AI396" s="5" t="s">
        <v>1699</v>
      </c>
      <c r="AJ396" s="5" t="s">
        <v>1699</v>
      </c>
      <c r="AK396" s="21" t="s">
        <v>2</v>
      </c>
      <c r="AL396" s="72" t="s">
        <v>2745</v>
      </c>
      <c r="AM396" s="54" t="s">
        <v>4179</v>
      </c>
      <c r="AN396" s="34" t="s">
        <v>819</v>
      </c>
    </row>
    <row r="397" spans="2:40" x14ac:dyDescent="0.3">
      <c r="B397" s="18" t="s">
        <v>1700</v>
      </c>
      <c r="C397" s="47" t="s">
        <v>2583</v>
      </c>
      <c r="D397" s="15" t="s">
        <v>882</v>
      </c>
      <c r="E397" s="68" t="s">
        <v>2</v>
      </c>
      <c r="F397" s="55" t="s">
        <v>2</v>
      </c>
      <c r="G397" s="40" t="s">
        <v>2745</v>
      </c>
      <c r="H397" s="71" t="s">
        <v>825</v>
      </c>
      <c r="I397" s="67" t="s">
        <v>3408</v>
      </c>
      <c r="J397" s="73" t="s">
        <v>270</v>
      </c>
      <c r="K397" s="4">
        <v>5000000</v>
      </c>
      <c r="L397" s="41">
        <v>90.652000000000001</v>
      </c>
      <c r="M397" s="4">
        <v>4532600</v>
      </c>
      <c r="N397" s="4">
        <v>5000000</v>
      </c>
      <c r="O397" s="4">
        <v>4532600</v>
      </c>
      <c r="P397" s="4">
        <v>-467400</v>
      </c>
      <c r="Q397" s="4">
        <v>0</v>
      </c>
      <c r="R397" s="4">
        <v>0</v>
      </c>
      <c r="S397" s="4">
        <v>0</v>
      </c>
      <c r="T397" s="23">
        <v>4.2709999999999999</v>
      </c>
      <c r="U397" s="23">
        <v>4.2709999999999999</v>
      </c>
      <c r="V397" s="5" t="s">
        <v>1916</v>
      </c>
      <c r="W397" s="4">
        <v>102029</v>
      </c>
      <c r="X397" s="4">
        <v>213550</v>
      </c>
      <c r="Y397" s="14">
        <v>43836</v>
      </c>
      <c r="Z397" s="14">
        <v>46396</v>
      </c>
      <c r="AA397" s="2"/>
      <c r="AB397" s="69" t="s">
        <v>3892</v>
      </c>
      <c r="AC397" s="5" t="s">
        <v>4178</v>
      </c>
      <c r="AD397" s="2"/>
      <c r="AE397" s="14">
        <v>46335</v>
      </c>
      <c r="AF397" s="23">
        <v>100</v>
      </c>
      <c r="AG397" s="6"/>
      <c r="AH397" s="5" t="s">
        <v>3139</v>
      </c>
      <c r="AI397" s="5" t="s">
        <v>882</v>
      </c>
      <c r="AJ397" s="5" t="s">
        <v>2</v>
      </c>
      <c r="AK397" s="21" t="s">
        <v>2</v>
      </c>
      <c r="AL397" s="72" t="s">
        <v>3894</v>
      </c>
      <c r="AM397" s="54" t="s">
        <v>4179</v>
      </c>
      <c r="AN397" s="34" t="s">
        <v>863</v>
      </c>
    </row>
    <row r="398" spans="2:40" x14ac:dyDescent="0.3">
      <c r="B398" s="18" t="s">
        <v>2818</v>
      </c>
      <c r="C398" s="47" t="s">
        <v>561</v>
      </c>
      <c r="D398" s="15" t="s">
        <v>1701</v>
      </c>
      <c r="E398" s="68" t="s">
        <v>2</v>
      </c>
      <c r="F398" s="55" t="s">
        <v>2</v>
      </c>
      <c r="G398" s="40" t="s">
        <v>2745</v>
      </c>
      <c r="H398" s="71" t="s">
        <v>3894</v>
      </c>
      <c r="I398" s="67" t="s">
        <v>8</v>
      </c>
      <c r="J398" s="73" t="s">
        <v>270</v>
      </c>
      <c r="K398" s="4">
        <v>4988800</v>
      </c>
      <c r="L398" s="41">
        <v>93.593000000000004</v>
      </c>
      <c r="M398" s="4">
        <v>4679650</v>
      </c>
      <c r="N398" s="4">
        <v>5000000</v>
      </c>
      <c r="O398" s="4">
        <v>4994145</v>
      </c>
      <c r="P398" s="4">
        <v>0</v>
      </c>
      <c r="Q398" s="4">
        <v>1579</v>
      </c>
      <c r="R398" s="4">
        <v>0</v>
      </c>
      <c r="S398" s="4">
        <v>0</v>
      </c>
      <c r="T398" s="23">
        <v>3.15</v>
      </c>
      <c r="U398" s="23">
        <v>3.1859999999999999</v>
      </c>
      <c r="V398" s="5" t="s">
        <v>3898</v>
      </c>
      <c r="W398" s="4">
        <v>7000</v>
      </c>
      <c r="X398" s="4">
        <v>157500</v>
      </c>
      <c r="Y398" s="14">
        <v>43657</v>
      </c>
      <c r="Z398" s="14">
        <v>46188</v>
      </c>
      <c r="AA398" s="2"/>
      <c r="AB398" s="69" t="s">
        <v>3892</v>
      </c>
      <c r="AC398" s="5" t="s">
        <v>4178</v>
      </c>
      <c r="AD398" s="2"/>
      <c r="AE398" s="14">
        <v>46096</v>
      </c>
      <c r="AF398" s="23">
        <v>100</v>
      </c>
      <c r="AG398" s="10"/>
      <c r="AH398" s="5" t="s">
        <v>1230</v>
      </c>
      <c r="AI398" s="5" t="s">
        <v>1701</v>
      </c>
      <c r="AJ398" s="5" t="s">
        <v>2</v>
      </c>
      <c r="AK398" s="21" t="s">
        <v>2</v>
      </c>
      <c r="AL398" s="72" t="s">
        <v>3894</v>
      </c>
      <c r="AM398" s="54" t="s">
        <v>4179</v>
      </c>
      <c r="AN398" s="34" t="s">
        <v>1189</v>
      </c>
    </row>
    <row r="399" spans="2:40" x14ac:dyDescent="0.3">
      <c r="B399" s="18" t="s">
        <v>3955</v>
      </c>
      <c r="C399" s="47" t="s">
        <v>2819</v>
      </c>
      <c r="D399" s="15" t="s">
        <v>79</v>
      </c>
      <c r="E399" s="68" t="s">
        <v>2</v>
      </c>
      <c r="F399" s="55" t="s">
        <v>2</v>
      </c>
      <c r="G399" s="40" t="s">
        <v>2745</v>
      </c>
      <c r="H399" s="71" t="s">
        <v>3894</v>
      </c>
      <c r="I399" s="67" t="s">
        <v>8</v>
      </c>
      <c r="J399" s="73" t="s">
        <v>270</v>
      </c>
      <c r="K399" s="4">
        <v>5000000</v>
      </c>
      <c r="L399" s="41">
        <v>98.837000000000003</v>
      </c>
      <c r="M399" s="4">
        <v>4941850</v>
      </c>
      <c r="N399" s="4">
        <v>5000000</v>
      </c>
      <c r="O399" s="4">
        <v>5000000</v>
      </c>
      <c r="P399" s="4">
        <v>0</v>
      </c>
      <c r="Q399" s="4">
        <v>0</v>
      </c>
      <c r="R399" s="4">
        <v>0</v>
      </c>
      <c r="S399" s="4">
        <v>0</v>
      </c>
      <c r="T399" s="23">
        <v>4.03</v>
      </c>
      <c r="U399" s="23">
        <v>4.0259999999999998</v>
      </c>
      <c r="V399" s="5" t="s">
        <v>1916</v>
      </c>
      <c r="W399" s="4">
        <v>87317</v>
      </c>
      <c r="X399" s="4">
        <v>201500</v>
      </c>
      <c r="Y399" s="14">
        <v>43924</v>
      </c>
      <c r="Z399" s="14">
        <v>45316</v>
      </c>
      <c r="AA399" s="2"/>
      <c r="AB399" s="69" t="s">
        <v>3892</v>
      </c>
      <c r="AC399" s="5" t="s">
        <v>4178</v>
      </c>
      <c r="AD399" s="2"/>
      <c r="AE399" s="14">
        <v>45285</v>
      </c>
      <c r="AF399" s="23">
        <v>100</v>
      </c>
      <c r="AG399" s="6"/>
      <c r="AH399" s="5" t="s">
        <v>2</v>
      </c>
      <c r="AI399" s="5" t="s">
        <v>79</v>
      </c>
      <c r="AJ399" s="5" t="s">
        <v>2</v>
      </c>
      <c r="AK399" s="21" t="s">
        <v>2</v>
      </c>
      <c r="AL399" s="72" t="s">
        <v>3894</v>
      </c>
      <c r="AM399" s="54" t="s">
        <v>4179</v>
      </c>
      <c r="AN399" s="34" t="s">
        <v>1189</v>
      </c>
    </row>
    <row r="400" spans="2:40" x14ac:dyDescent="0.3">
      <c r="B400" s="18" t="s">
        <v>562</v>
      </c>
      <c r="C400" s="47" t="s">
        <v>3472</v>
      </c>
      <c r="D400" s="15" t="s">
        <v>3705</v>
      </c>
      <c r="E400" s="68" t="s">
        <v>2</v>
      </c>
      <c r="F400" s="55" t="s">
        <v>2</v>
      </c>
      <c r="G400" s="40" t="s">
        <v>2745</v>
      </c>
      <c r="H400" s="71" t="s">
        <v>3894</v>
      </c>
      <c r="I400" s="67" t="s">
        <v>8</v>
      </c>
      <c r="J400" s="73" t="s">
        <v>270</v>
      </c>
      <c r="K400" s="4">
        <v>4962400</v>
      </c>
      <c r="L400" s="41">
        <v>74.718000000000004</v>
      </c>
      <c r="M400" s="4">
        <v>3735900</v>
      </c>
      <c r="N400" s="4">
        <v>5000000</v>
      </c>
      <c r="O400" s="4">
        <v>4968751</v>
      </c>
      <c r="P400" s="4">
        <v>0</v>
      </c>
      <c r="Q400" s="4">
        <v>3380</v>
      </c>
      <c r="R400" s="4">
        <v>0</v>
      </c>
      <c r="S400" s="4">
        <v>0</v>
      </c>
      <c r="T400" s="23">
        <v>1.9</v>
      </c>
      <c r="U400" s="23">
        <v>1.9810000000000001</v>
      </c>
      <c r="V400" s="5" t="s">
        <v>3898</v>
      </c>
      <c r="W400" s="4">
        <v>7917</v>
      </c>
      <c r="X400" s="4">
        <v>95000</v>
      </c>
      <c r="Y400" s="14">
        <v>44228</v>
      </c>
      <c r="Z400" s="14">
        <v>48000</v>
      </c>
      <c r="AA400" s="2"/>
      <c r="AB400" s="69" t="s">
        <v>3892</v>
      </c>
      <c r="AC400" s="5" t="s">
        <v>4178</v>
      </c>
      <c r="AD400" s="2"/>
      <c r="AE400" s="14">
        <v>47908</v>
      </c>
      <c r="AF400" s="23">
        <v>100</v>
      </c>
      <c r="AG400" s="6"/>
      <c r="AH400" s="5" t="s">
        <v>2353</v>
      </c>
      <c r="AI400" s="5" t="s">
        <v>4274</v>
      </c>
      <c r="AJ400" s="5" t="s">
        <v>2820</v>
      </c>
      <c r="AK400" s="21" t="s">
        <v>2</v>
      </c>
      <c r="AL400" s="72" t="s">
        <v>3894</v>
      </c>
      <c r="AM400" s="54" t="s">
        <v>4179</v>
      </c>
      <c r="AN400" s="34" t="s">
        <v>1189</v>
      </c>
    </row>
    <row r="401" spans="2:40" x14ac:dyDescent="0.3">
      <c r="B401" s="18" t="s">
        <v>1702</v>
      </c>
      <c r="C401" s="47" t="s">
        <v>80</v>
      </c>
      <c r="D401" s="15" t="s">
        <v>3705</v>
      </c>
      <c r="E401" s="68" t="s">
        <v>2</v>
      </c>
      <c r="F401" s="55" t="s">
        <v>2</v>
      </c>
      <c r="G401" s="40" t="s">
        <v>2745</v>
      </c>
      <c r="H401" s="71" t="s">
        <v>3894</v>
      </c>
      <c r="I401" s="67" t="s">
        <v>8</v>
      </c>
      <c r="J401" s="73" t="s">
        <v>270</v>
      </c>
      <c r="K401" s="4">
        <v>4704828</v>
      </c>
      <c r="L401" s="41">
        <v>93.367999999999995</v>
      </c>
      <c r="M401" s="4">
        <v>4434980</v>
      </c>
      <c r="N401" s="4">
        <v>4750000</v>
      </c>
      <c r="O401" s="4">
        <v>4706204</v>
      </c>
      <c r="P401" s="4">
        <v>0</v>
      </c>
      <c r="Q401" s="4">
        <v>1377</v>
      </c>
      <c r="R401" s="4">
        <v>0</v>
      </c>
      <c r="S401" s="4">
        <v>0</v>
      </c>
      <c r="T401" s="23">
        <v>4.9000000000000004</v>
      </c>
      <c r="U401" s="23">
        <v>5.016</v>
      </c>
      <c r="V401" s="5" t="s">
        <v>10</v>
      </c>
      <c r="W401" s="4">
        <v>91160</v>
      </c>
      <c r="X401" s="4">
        <v>0</v>
      </c>
      <c r="Y401" s="14">
        <v>44781</v>
      </c>
      <c r="Z401" s="14">
        <v>48653</v>
      </c>
      <c r="AA401" s="2"/>
      <c r="AB401" s="69" t="s">
        <v>3892</v>
      </c>
      <c r="AC401" s="5" t="s">
        <v>4178</v>
      </c>
      <c r="AD401" s="2"/>
      <c r="AE401" s="14">
        <v>48563</v>
      </c>
      <c r="AF401" s="23">
        <v>100</v>
      </c>
      <c r="AG401" s="6"/>
      <c r="AH401" s="5" t="s">
        <v>2353</v>
      </c>
      <c r="AI401" s="5" t="s">
        <v>4274</v>
      </c>
      <c r="AJ401" s="5" t="s">
        <v>2820</v>
      </c>
      <c r="AK401" s="21" t="s">
        <v>2</v>
      </c>
      <c r="AL401" s="72" t="s">
        <v>3894</v>
      </c>
      <c r="AM401" s="54" t="s">
        <v>4179</v>
      </c>
      <c r="AN401" s="34" t="s">
        <v>1189</v>
      </c>
    </row>
    <row r="402" spans="2:40" x14ac:dyDescent="0.3">
      <c r="B402" s="18" t="s">
        <v>2821</v>
      </c>
      <c r="C402" s="47" t="s">
        <v>1455</v>
      </c>
      <c r="D402" s="15" t="s">
        <v>1456</v>
      </c>
      <c r="E402" s="68" t="s">
        <v>2</v>
      </c>
      <c r="F402" s="55" t="s">
        <v>2</v>
      </c>
      <c r="G402" s="40" t="s">
        <v>2</v>
      </c>
      <c r="H402" s="71" t="s">
        <v>3894</v>
      </c>
      <c r="I402" s="67" t="s">
        <v>8</v>
      </c>
      <c r="J402" s="73" t="s">
        <v>2312</v>
      </c>
      <c r="K402" s="4">
        <v>2000000</v>
      </c>
      <c r="L402" s="41">
        <v>89.988</v>
      </c>
      <c r="M402" s="4">
        <v>1799760</v>
      </c>
      <c r="N402" s="4">
        <v>2000000</v>
      </c>
      <c r="O402" s="4">
        <v>2000000</v>
      </c>
      <c r="P402" s="4">
        <v>0</v>
      </c>
      <c r="Q402" s="4">
        <v>0</v>
      </c>
      <c r="R402" s="4">
        <v>0</v>
      </c>
      <c r="S402" s="4">
        <v>0</v>
      </c>
      <c r="T402" s="23">
        <v>4.1500000000000004</v>
      </c>
      <c r="U402" s="23">
        <v>4.1500000000000004</v>
      </c>
      <c r="V402" s="5" t="s">
        <v>329</v>
      </c>
      <c r="W402" s="4">
        <v>231</v>
      </c>
      <c r="X402" s="4">
        <v>83000</v>
      </c>
      <c r="Y402" s="14">
        <v>44083</v>
      </c>
      <c r="Z402" s="14">
        <v>47664</v>
      </c>
      <c r="AA402" s="2"/>
      <c r="AB402" s="69" t="s">
        <v>2783</v>
      </c>
      <c r="AC402" s="5" t="s">
        <v>2</v>
      </c>
      <c r="AD402" s="2"/>
      <c r="AE402" s="10"/>
      <c r="AF402" s="23"/>
      <c r="AG402" s="6"/>
      <c r="AH402" s="5" t="s">
        <v>2</v>
      </c>
      <c r="AI402" s="5" t="s">
        <v>1456</v>
      </c>
      <c r="AJ402" s="5" t="s">
        <v>2</v>
      </c>
      <c r="AK402" s="21" t="s">
        <v>2</v>
      </c>
      <c r="AL402" s="72" t="s">
        <v>2745</v>
      </c>
      <c r="AM402" s="54" t="s">
        <v>4179</v>
      </c>
      <c r="AN402" s="34" t="s">
        <v>3085</v>
      </c>
    </row>
    <row r="403" spans="2:40" x14ac:dyDescent="0.3">
      <c r="B403" s="18" t="s">
        <v>3956</v>
      </c>
      <c r="C403" s="47" t="s">
        <v>2354</v>
      </c>
      <c r="D403" s="15" t="s">
        <v>81</v>
      </c>
      <c r="E403" s="68" t="s">
        <v>2</v>
      </c>
      <c r="F403" s="55" t="s">
        <v>2</v>
      </c>
      <c r="G403" s="40" t="s">
        <v>2745</v>
      </c>
      <c r="H403" s="71" t="s">
        <v>825</v>
      </c>
      <c r="I403" s="67" t="s">
        <v>1164</v>
      </c>
      <c r="J403" s="73" t="s">
        <v>270</v>
      </c>
      <c r="K403" s="4">
        <v>4018750</v>
      </c>
      <c r="L403" s="41">
        <v>71.162000000000006</v>
      </c>
      <c r="M403" s="4">
        <v>2846480</v>
      </c>
      <c r="N403" s="4">
        <v>4000000</v>
      </c>
      <c r="O403" s="4">
        <v>2846480</v>
      </c>
      <c r="P403" s="4">
        <v>-1106163</v>
      </c>
      <c r="Q403" s="4">
        <v>-3517</v>
      </c>
      <c r="R403" s="4">
        <v>0</v>
      </c>
      <c r="S403" s="4">
        <v>0</v>
      </c>
      <c r="T403" s="23">
        <v>3.625</v>
      </c>
      <c r="U403" s="23">
        <v>3.5219999999999998</v>
      </c>
      <c r="V403" s="5" t="s">
        <v>3895</v>
      </c>
      <c r="W403" s="4">
        <v>36250</v>
      </c>
      <c r="X403" s="4">
        <v>146611</v>
      </c>
      <c r="Y403" s="14">
        <v>44467</v>
      </c>
      <c r="Z403" s="14">
        <v>47392</v>
      </c>
      <c r="AA403" s="2"/>
      <c r="AB403" s="69" t="s">
        <v>3892</v>
      </c>
      <c r="AC403" s="5" t="s">
        <v>4178</v>
      </c>
      <c r="AD403" s="2"/>
      <c r="AE403" s="14">
        <v>46296</v>
      </c>
      <c r="AF403" s="23">
        <v>100</v>
      </c>
      <c r="AG403" s="14">
        <v>46296</v>
      </c>
      <c r="AH403" s="5" t="s">
        <v>3957</v>
      </c>
      <c r="AI403" s="5" t="s">
        <v>1703</v>
      </c>
      <c r="AJ403" s="5" t="s">
        <v>824</v>
      </c>
      <c r="AK403" s="21" t="s">
        <v>2</v>
      </c>
      <c r="AL403" s="72" t="s">
        <v>3894</v>
      </c>
      <c r="AM403" s="54" t="s">
        <v>4179</v>
      </c>
      <c r="AN403" s="34" t="s">
        <v>302</v>
      </c>
    </row>
    <row r="404" spans="2:40" x14ac:dyDescent="0.3">
      <c r="B404" s="18" t="s">
        <v>883</v>
      </c>
      <c r="C404" s="47" t="s">
        <v>1231</v>
      </c>
      <c r="D404" s="15" t="s">
        <v>330</v>
      </c>
      <c r="E404" s="68" t="s">
        <v>2</v>
      </c>
      <c r="F404" s="55" t="s">
        <v>2</v>
      </c>
      <c r="G404" s="40" t="s">
        <v>2745</v>
      </c>
      <c r="H404" s="71" t="s">
        <v>825</v>
      </c>
      <c r="I404" s="67" t="s">
        <v>3408</v>
      </c>
      <c r="J404" s="73" t="s">
        <v>270</v>
      </c>
      <c r="K404" s="4">
        <v>2000000</v>
      </c>
      <c r="L404" s="41">
        <v>87.688999999999993</v>
      </c>
      <c r="M404" s="4">
        <v>1753780</v>
      </c>
      <c r="N404" s="4">
        <v>2000000</v>
      </c>
      <c r="O404" s="4">
        <v>1753780</v>
      </c>
      <c r="P404" s="4">
        <v>-246220</v>
      </c>
      <c r="Q404" s="4">
        <v>0</v>
      </c>
      <c r="R404" s="4">
        <v>0</v>
      </c>
      <c r="S404" s="4">
        <v>0</v>
      </c>
      <c r="T404" s="23">
        <v>3.625</v>
      </c>
      <c r="U404" s="23">
        <v>3.625</v>
      </c>
      <c r="V404" s="5" t="s">
        <v>3898</v>
      </c>
      <c r="W404" s="4">
        <v>3222</v>
      </c>
      <c r="X404" s="4">
        <v>72500</v>
      </c>
      <c r="Y404" s="14">
        <v>44362</v>
      </c>
      <c r="Z404" s="14">
        <v>47284</v>
      </c>
      <c r="AA404" s="2"/>
      <c r="AB404" s="69" t="s">
        <v>3892</v>
      </c>
      <c r="AC404" s="5" t="s">
        <v>4178</v>
      </c>
      <c r="AD404" s="2"/>
      <c r="AE404" s="9">
        <v>45458</v>
      </c>
      <c r="AF404" s="23">
        <v>101.813</v>
      </c>
      <c r="AG404" s="6"/>
      <c r="AH404" s="5" t="s">
        <v>1704</v>
      </c>
      <c r="AI404" s="5" t="s">
        <v>1457</v>
      </c>
      <c r="AJ404" s="5" t="s">
        <v>824</v>
      </c>
      <c r="AK404" s="21" t="s">
        <v>2</v>
      </c>
      <c r="AL404" s="72" t="s">
        <v>3894</v>
      </c>
      <c r="AM404" s="54" t="s">
        <v>4179</v>
      </c>
      <c r="AN404" s="34" t="s">
        <v>863</v>
      </c>
    </row>
    <row r="405" spans="2:40" x14ac:dyDescent="0.3">
      <c r="B405" s="18" t="s">
        <v>2002</v>
      </c>
      <c r="C405" s="47" t="s">
        <v>3473</v>
      </c>
      <c r="D405" s="15" t="s">
        <v>2822</v>
      </c>
      <c r="E405" s="68" t="s">
        <v>2</v>
      </c>
      <c r="F405" s="55" t="s">
        <v>2</v>
      </c>
      <c r="G405" s="40" t="s">
        <v>2745</v>
      </c>
      <c r="H405" s="71" t="s">
        <v>2745</v>
      </c>
      <c r="I405" s="67" t="s">
        <v>1414</v>
      </c>
      <c r="J405" s="73" t="s">
        <v>270</v>
      </c>
      <c r="K405" s="4">
        <v>4511475</v>
      </c>
      <c r="L405" s="41">
        <v>97.501000000000005</v>
      </c>
      <c r="M405" s="4">
        <v>4387545</v>
      </c>
      <c r="N405" s="4">
        <v>4500000</v>
      </c>
      <c r="O405" s="4">
        <v>4503670</v>
      </c>
      <c r="P405" s="4">
        <v>0</v>
      </c>
      <c r="Q405" s="4">
        <v>-1877</v>
      </c>
      <c r="R405" s="4">
        <v>0</v>
      </c>
      <c r="S405" s="4">
        <v>0</v>
      </c>
      <c r="T405" s="23">
        <v>3.5</v>
      </c>
      <c r="U405" s="23">
        <v>3.4540000000000002</v>
      </c>
      <c r="V405" s="5" t="s">
        <v>3409</v>
      </c>
      <c r="W405" s="4">
        <v>20125</v>
      </c>
      <c r="X405" s="4">
        <v>157500</v>
      </c>
      <c r="Y405" s="14">
        <v>43278</v>
      </c>
      <c r="Z405" s="14">
        <v>45792</v>
      </c>
      <c r="AA405" s="2"/>
      <c r="AB405" s="69" t="s">
        <v>3892</v>
      </c>
      <c r="AC405" s="5" t="s">
        <v>4178</v>
      </c>
      <c r="AD405" s="2"/>
      <c r="AE405" s="9">
        <v>45731</v>
      </c>
      <c r="AF405" s="23">
        <v>100</v>
      </c>
      <c r="AG405" s="9">
        <v>45731</v>
      </c>
      <c r="AH405" s="5" t="s">
        <v>82</v>
      </c>
      <c r="AI405" s="5" t="s">
        <v>1705</v>
      </c>
      <c r="AJ405" s="5" t="s">
        <v>2584</v>
      </c>
      <c r="AK405" s="21" t="s">
        <v>2</v>
      </c>
      <c r="AL405" s="72" t="s">
        <v>3894</v>
      </c>
      <c r="AM405" s="54" t="s">
        <v>4179</v>
      </c>
      <c r="AN405" s="34" t="s">
        <v>512</v>
      </c>
    </row>
    <row r="406" spans="2:40" x14ac:dyDescent="0.3">
      <c r="B406" s="18" t="s">
        <v>3958</v>
      </c>
      <c r="C406" s="47" t="s">
        <v>3706</v>
      </c>
      <c r="D406" s="15" t="s">
        <v>884</v>
      </c>
      <c r="E406" s="68" t="s">
        <v>2</v>
      </c>
      <c r="F406" s="55" t="s">
        <v>2</v>
      </c>
      <c r="G406" s="40" t="s">
        <v>2745</v>
      </c>
      <c r="H406" s="71" t="s">
        <v>3894</v>
      </c>
      <c r="I406" s="67" t="s">
        <v>1164</v>
      </c>
      <c r="J406" s="73" t="s">
        <v>270</v>
      </c>
      <c r="K406" s="4">
        <v>9989100</v>
      </c>
      <c r="L406" s="41">
        <v>84.534000000000006</v>
      </c>
      <c r="M406" s="4">
        <v>8453400</v>
      </c>
      <c r="N406" s="4">
        <v>10000000</v>
      </c>
      <c r="O406" s="4">
        <v>9991626</v>
      </c>
      <c r="P406" s="4">
        <v>0</v>
      </c>
      <c r="Q406" s="4">
        <v>1472</v>
      </c>
      <c r="R406" s="4">
        <v>0</v>
      </c>
      <c r="S406" s="4">
        <v>0</v>
      </c>
      <c r="T406" s="23">
        <v>2.4</v>
      </c>
      <c r="U406" s="23">
        <v>2.4169999999999998</v>
      </c>
      <c r="V406" s="5" t="s">
        <v>3895</v>
      </c>
      <c r="W406" s="4">
        <v>54000</v>
      </c>
      <c r="X406" s="4">
        <v>240000</v>
      </c>
      <c r="Y406" s="14">
        <v>44292</v>
      </c>
      <c r="Z406" s="14">
        <v>46853</v>
      </c>
      <c r="AA406" s="2"/>
      <c r="AB406" s="69" t="s">
        <v>3892</v>
      </c>
      <c r="AC406" s="5" t="s">
        <v>4178</v>
      </c>
      <c r="AD406" s="2"/>
      <c r="AE406" s="14">
        <v>46793</v>
      </c>
      <c r="AF406" s="23">
        <v>100</v>
      </c>
      <c r="AG406" s="10"/>
      <c r="AH406" s="5" t="s">
        <v>1458</v>
      </c>
      <c r="AI406" s="5" t="s">
        <v>884</v>
      </c>
      <c r="AJ406" s="5" t="s">
        <v>2</v>
      </c>
      <c r="AK406" s="21" t="s">
        <v>2</v>
      </c>
      <c r="AL406" s="72" t="s">
        <v>3894</v>
      </c>
      <c r="AM406" s="54" t="s">
        <v>4179</v>
      </c>
      <c r="AN406" s="34" t="s">
        <v>828</v>
      </c>
    </row>
    <row r="407" spans="2:40" x14ac:dyDescent="0.3">
      <c r="B407" s="18" t="s">
        <v>563</v>
      </c>
      <c r="C407" s="47" t="s">
        <v>1459</v>
      </c>
      <c r="D407" s="15" t="s">
        <v>884</v>
      </c>
      <c r="E407" s="68" t="s">
        <v>2</v>
      </c>
      <c r="F407" s="55" t="s">
        <v>2</v>
      </c>
      <c r="G407" s="40" t="s">
        <v>2745</v>
      </c>
      <c r="H407" s="71" t="s">
        <v>3894</v>
      </c>
      <c r="I407" s="67" t="s">
        <v>1164</v>
      </c>
      <c r="J407" s="73" t="s">
        <v>270</v>
      </c>
      <c r="K407" s="4">
        <v>4987500</v>
      </c>
      <c r="L407" s="41">
        <v>83.355999999999995</v>
      </c>
      <c r="M407" s="4">
        <v>4167800</v>
      </c>
      <c r="N407" s="4">
        <v>5000000</v>
      </c>
      <c r="O407" s="4">
        <v>4989515</v>
      </c>
      <c r="P407" s="4">
        <v>0</v>
      </c>
      <c r="Q407" s="4">
        <v>1667</v>
      </c>
      <c r="R407" s="4">
        <v>0</v>
      </c>
      <c r="S407" s="4">
        <v>0</v>
      </c>
      <c r="T407" s="23">
        <v>2.4</v>
      </c>
      <c r="U407" s="23">
        <v>2.4390000000000001</v>
      </c>
      <c r="V407" s="5" t="s">
        <v>3895</v>
      </c>
      <c r="W407" s="4">
        <v>25333</v>
      </c>
      <c r="X407" s="4">
        <v>120000</v>
      </c>
      <c r="Y407" s="14">
        <v>44481</v>
      </c>
      <c r="Z407" s="14">
        <v>47041</v>
      </c>
      <c r="AA407" s="2"/>
      <c r="AB407" s="69" t="s">
        <v>3892</v>
      </c>
      <c r="AC407" s="5" t="s">
        <v>4178</v>
      </c>
      <c r="AD407" s="2"/>
      <c r="AE407" s="14">
        <v>46980</v>
      </c>
      <c r="AF407" s="23">
        <v>100</v>
      </c>
      <c r="AG407" s="6"/>
      <c r="AH407" s="5" t="s">
        <v>1458</v>
      </c>
      <c r="AI407" s="5" t="s">
        <v>884</v>
      </c>
      <c r="AJ407" s="5" t="s">
        <v>2</v>
      </c>
      <c r="AK407" s="21" t="s">
        <v>2</v>
      </c>
      <c r="AL407" s="72" t="s">
        <v>3894</v>
      </c>
      <c r="AM407" s="54" t="s">
        <v>4179</v>
      </c>
      <c r="AN407" s="34" t="s">
        <v>828</v>
      </c>
    </row>
    <row r="408" spans="2:40" x14ac:dyDescent="0.3">
      <c r="B408" s="18" t="s">
        <v>1706</v>
      </c>
      <c r="C408" s="47" t="s">
        <v>2003</v>
      </c>
      <c r="D408" s="15" t="s">
        <v>4275</v>
      </c>
      <c r="E408" s="68" t="s">
        <v>2</v>
      </c>
      <c r="F408" s="55" t="s">
        <v>2</v>
      </c>
      <c r="G408" s="40" t="s">
        <v>2745</v>
      </c>
      <c r="H408" s="71" t="s">
        <v>2745</v>
      </c>
      <c r="I408" s="67" t="s">
        <v>1414</v>
      </c>
      <c r="J408" s="73" t="s">
        <v>270</v>
      </c>
      <c r="K408" s="4">
        <v>22356960</v>
      </c>
      <c r="L408" s="41">
        <v>89.835999999999999</v>
      </c>
      <c r="M408" s="4">
        <v>19763920</v>
      </c>
      <c r="N408" s="4">
        <v>22000000</v>
      </c>
      <c r="O408" s="4">
        <v>22225310</v>
      </c>
      <c r="P408" s="4">
        <v>0</v>
      </c>
      <c r="Q408" s="4">
        <v>-51937</v>
      </c>
      <c r="R408" s="4">
        <v>0</v>
      </c>
      <c r="S408" s="4">
        <v>0</v>
      </c>
      <c r="T408" s="23">
        <v>2.1</v>
      </c>
      <c r="U408" s="23">
        <v>1.8420000000000001</v>
      </c>
      <c r="V408" s="5" t="s">
        <v>3895</v>
      </c>
      <c r="W408" s="4">
        <v>78283</v>
      </c>
      <c r="X408" s="4">
        <v>462000</v>
      </c>
      <c r="Y408" s="14">
        <v>43985</v>
      </c>
      <c r="Z408" s="14">
        <v>46507</v>
      </c>
      <c r="AA408" s="2"/>
      <c r="AB408" s="69" t="s">
        <v>3892</v>
      </c>
      <c r="AC408" s="5" t="s">
        <v>4178</v>
      </c>
      <c r="AD408" s="2"/>
      <c r="AE408" s="9">
        <v>46446</v>
      </c>
      <c r="AF408" s="23">
        <v>100</v>
      </c>
      <c r="AG408" s="9">
        <v>46446</v>
      </c>
      <c r="AH408" s="5" t="s">
        <v>2823</v>
      </c>
      <c r="AI408" s="5" t="s">
        <v>331</v>
      </c>
      <c r="AJ408" s="5" t="s">
        <v>824</v>
      </c>
      <c r="AK408" s="21" t="s">
        <v>2</v>
      </c>
      <c r="AL408" s="72" t="s">
        <v>3894</v>
      </c>
      <c r="AM408" s="54" t="s">
        <v>4179</v>
      </c>
      <c r="AN408" s="34" t="s">
        <v>512</v>
      </c>
    </row>
    <row r="409" spans="2:40" x14ac:dyDescent="0.3">
      <c r="B409" s="18" t="s">
        <v>2824</v>
      </c>
      <c r="C409" s="47" t="s">
        <v>1707</v>
      </c>
      <c r="D409" s="15" t="s">
        <v>885</v>
      </c>
      <c r="E409" s="68" t="s">
        <v>2</v>
      </c>
      <c r="F409" s="55" t="s">
        <v>2</v>
      </c>
      <c r="G409" s="40" t="s">
        <v>2745</v>
      </c>
      <c r="H409" s="71" t="s">
        <v>3894</v>
      </c>
      <c r="I409" s="67" t="s">
        <v>3408</v>
      </c>
      <c r="J409" s="73" t="s">
        <v>270</v>
      </c>
      <c r="K409" s="4">
        <v>4953900</v>
      </c>
      <c r="L409" s="41">
        <v>96.638000000000005</v>
      </c>
      <c r="M409" s="4">
        <v>4831900</v>
      </c>
      <c r="N409" s="4">
        <v>5000000</v>
      </c>
      <c r="O409" s="4">
        <v>4979424</v>
      </c>
      <c r="P409" s="4">
        <v>0</v>
      </c>
      <c r="Q409" s="4">
        <v>6008</v>
      </c>
      <c r="R409" s="4">
        <v>0</v>
      </c>
      <c r="S409" s="4">
        <v>0</v>
      </c>
      <c r="T409" s="23">
        <v>3.65</v>
      </c>
      <c r="U409" s="23">
        <v>3.7890000000000001</v>
      </c>
      <c r="V409" s="5" t="s">
        <v>10</v>
      </c>
      <c r="W409" s="4">
        <v>60833</v>
      </c>
      <c r="X409" s="4">
        <v>182500</v>
      </c>
      <c r="Y409" s="14">
        <v>43278</v>
      </c>
      <c r="Z409" s="14">
        <v>46082</v>
      </c>
      <c r="AA409" s="2"/>
      <c r="AB409" s="69" t="s">
        <v>3892</v>
      </c>
      <c r="AC409" s="5" t="s">
        <v>4178</v>
      </c>
      <c r="AD409" s="2"/>
      <c r="AE409" s="9">
        <v>45992</v>
      </c>
      <c r="AF409" s="23">
        <v>100</v>
      </c>
      <c r="AG409" s="6"/>
      <c r="AH409" s="5" t="s">
        <v>886</v>
      </c>
      <c r="AI409" s="5" t="s">
        <v>885</v>
      </c>
      <c r="AJ409" s="5" t="s">
        <v>2</v>
      </c>
      <c r="AK409" s="21" t="s">
        <v>2</v>
      </c>
      <c r="AL409" s="72" t="s">
        <v>3894</v>
      </c>
      <c r="AM409" s="54" t="s">
        <v>4179</v>
      </c>
      <c r="AN409" s="34" t="s">
        <v>1650</v>
      </c>
    </row>
    <row r="410" spans="2:40" x14ac:dyDescent="0.3">
      <c r="B410" s="18" t="s">
        <v>3959</v>
      </c>
      <c r="C410" s="47" t="s">
        <v>3140</v>
      </c>
      <c r="D410" s="15" t="s">
        <v>3960</v>
      </c>
      <c r="E410" s="68" t="s">
        <v>2</v>
      </c>
      <c r="F410" s="55" t="s">
        <v>2</v>
      </c>
      <c r="G410" s="40" t="s">
        <v>2745</v>
      </c>
      <c r="H410" s="71" t="s">
        <v>2745</v>
      </c>
      <c r="I410" s="67" t="s">
        <v>287</v>
      </c>
      <c r="J410" s="73" t="s">
        <v>270</v>
      </c>
      <c r="K410" s="4">
        <v>4966400</v>
      </c>
      <c r="L410" s="41">
        <v>97.751999999999995</v>
      </c>
      <c r="M410" s="4">
        <v>4887600</v>
      </c>
      <c r="N410" s="4">
        <v>5000000</v>
      </c>
      <c r="O410" s="4">
        <v>4987630</v>
      </c>
      <c r="P410" s="4">
        <v>0</v>
      </c>
      <c r="Q410" s="4">
        <v>4900</v>
      </c>
      <c r="R410" s="4">
        <v>0</v>
      </c>
      <c r="S410" s="4">
        <v>0</v>
      </c>
      <c r="T410" s="23">
        <v>3.625</v>
      </c>
      <c r="U410" s="23">
        <v>3.7349999999999999</v>
      </c>
      <c r="V410" s="5" t="s">
        <v>3409</v>
      </c>
      <c r="W410" s="4">
        <v>23160</v>
      </c>
      <c r="X410" s="4">
        <v>181250</v>
      </c>
      <c r="Y410" s="14">
        <v>43230</v>
      </c>
      <c r="Z410" s="14">
        <v>45792</v>
      </c>
      <c r="AA410" s="2"/>
      <c r="AB410" s="69" t="s">
        <v>3892</v>
      </c>
      <c r="AC410" s="5" t="s">
        <v>4178</v>
      </c>
      <c r="AD410" s="2"/>
      <c r="AE410" s="10"/>
      <c r="AF410" s="23"/>
      <c r="AG410" s="10"/>
      <c r="AH410" s="5" t="s">
        <v>1232</v>
      </c>
      <c r="AI410" s="5" t="s">
        <v>2585</v>
      </c>
      <c r="AJ410" s="5" t="s">
        <v>2825</v>
      </c>
      <c r="AK410" s="21" t="s">
        <v>2</v>
      </c>
      <c r="AL410" s="72" t="s">
        <v>3894</v>
      </c>
      <c r="AM410" s="54" t="s">
        <v>4179</v>
      </c>
      <c r="AN410" s="34" t="s">
        <v>819</v>
      </c>
    </row>
    <row r="411" spans="2:40" x14ac:dyDescent="0.3">
      <c r="B411" s="18" t="s">
        <v>564</v>
      </c>
      <c r="C411" s="47" t="s">
        <v>2355</v>
      </c>
      <c r="D411" s="15" t="s">
        <v>2356</v>
      </c>
      <c r="E411" s="68" t="s">
        <v>2</v>
      </c>
      <c r="F411" s="55" t="s">
        <v>2</v>
      </c>
      <c r="G411" s="40" t="s">
        <v>2745</v>
      </c>
      <c r="H411" s="71" t="s">
        <v>3894</v>
      </c>
      <c r="I411" s="67" t="s">
        <v>1164</v>
      </c>
      <c r="J411" s="73" t="s">
        <v>270</v>
      </c>
      <c r="K411" s="4">
        <v>12615208</v>
      </c>
      <c r="L411" s="41">
        <v>94.263000000000005</v>
      </c>
      <c r="M411" s="4">
        <v>11782875</v>
      </c>
      <c r="N411" s="4">
        <v>12500000</v>
      </c>
      <c r="O411" s="4">
        <v>12549324</v>
      </c>
      <c r="P411" s="4">
        <v>0</v>
      </c>
      <c r="Q411" s="4">
        <v>-23390</v>
      </c>
      <c r="R411" s="4">
        <v>0</v>
      </c>
      <c r="S411" s="4">
        <v>0</v>
      </c>
      <c r="T411" s="23">
        <v>2.65</v>
      </c>
      <c r="U411" s="23">
        <v>2.4500000000000002</v>
      </c>
      <c r="V411" s="5" t="s">
        <v>268</v>
      </c>
      <c r="W411" s="4">
        <v>125139</v>
      </c>
      <c r="X411" s="4">
        <v>331250</v>
      </c>
      <c r="Y411" s="14">
        <v>43873</v>
      </c>
      <c r="Z411" s="14">
        <v>45703</v>
      </c>
      <c r="AA411" s="2"/>
      <c r="AB411" s="69" t="s">
        <v>3892</v>
      </c>
      <c r="AC411" s="5" t="s">
        <v>4178</v>
      </c>
      <c r="AD411" s="2"/>
      <c r="AE411" s="14">
        <v>45672</v>
      </c>
      <c r="AF411" s="23">
        <v>100</v>
      </c>
      <c r="AG411" s="14">
        <v>45672</v>
      </c>
      <c r="AH411" s="5" t="s">
        <v>2586</v>
      </c>
      <c r="AI411" s="5" t="s">
        <v>2826</v>
      </c>
      <c r="AJ411" s="5" t="s">
        <v>2004</v>
      </c>
      <c r="AK411" s="21" t="s">
        <v>2</v>
      </c>
      <c r="AL411" s="72" t="s">
        <v>3894</v>
      </c>
      <c r="AM411" s="54" t="s">
        <v>4179</v>
      </c>
      <c r="AN411" s="34" t="s">
        <v>828</v>
      </c>
    </row>
    <row r="412" spans="2:40" x14ac:dyDescent="0.3">
      <c r="B412" s="18" t="s">
        <v>2005</v>
      </c>
      <c r="C412" s="47" t="s">
        <v>3707</v>
      </c>
      <c r="D412" s="15" t="s">
        <v>2356</v>
      </c>
      <c r="E412" s="68" t="s">
        <v>2</v>
      </c>
      <c r="F412" s="55" t="s">
        <v>2</v>
      </c>
      <c r="G412" s="40" t="s">
        <v>2745</v>
      </c>
      <c r="H412" s="71" t="s">
        <v>3894</v>
      </c>
      <c r="I412" s="67" t="s">
        <v>1164</v>
      </c>
      <c r="J412" s="73" t="s">
        <v>270</v>
      </c>
      <c r="K412" s="4">
        <v>2994990</v>
      </c>
      <c r="L412" s="41">
        <v>95.927999999999997</v>
      </c>
      <c r="M412" s="4">
        <v>2877840</v>
      </c>
      <c r="N412" s="4">
        <v>3000000</v>
      </c>
      <c r="O412" s="4">
        <v>2995099</v>
      </c>
      <c r="P412" s="4">
        <v>0</v>
      </c>
      <c r="Q412" s="4">
        <v>109</v>
      </c>
      <c r="R412" s="4">
        <v>0</v>
      </c>
      <c r="S412" s="4">
        <v>0</v>
      </c>
      <c r="T412" s="23">
        <v>5.4</v>
      </c>
      <c r="U412" s="23">
        <v>5.4219999999999997</v>
      </c>
      <c r="V412" s="5" t="s">
        <v>268</v>
      </c>
      <c r="W412" s="4">
        <v>58050</v>
      </c>
      <c r="X412" s="4">
        <v>0</v>
      </c>
      <c r="Y412" s="14">
        <v>44781</v>
      </c>
      <c r="Z412" s="14">
        <v>48441</v>
      </c>
      <c r="AA412" s="2"/>
      <c r="AB412" s="69" t="s">
        <v>3892</v>
      </c>
      <c r="AC412" s="5" t="s">
        <v>4178</v>
      </c>
      <c r="AD412" s="2"/>
      <c r="AE412" s="14">
        <v>48349</v>
      </c>
      <c r="AF412" s="23">
        <v>100</v>
      </c>
      <c r="AG412" s="6"/>
      <c r="AH412" s="5" t="s">
        <v>2586</v>
      </c>
      <c r="AI412" s="5" t="s">
        <v>2826</v>
      </c>
      <c r="AJ412" s="5" t="s">
        <v>2004</v>
      </c>
      <c r="AK412" s="21" t="s">
        <v>2</v>
      </c>
      <c r="AL412" s="72" t="s">
        <v>3894</v>
      </c>
      <c r="AM412" s="54" t="s">
        <v>4179</v>
      </c>
      <c r="AN412" s="34" t="s">
        <v>828</v>
      </c>
    </row>
    <row r="413" spans="2:40" x14ac:dyDescent="0.3">
      <c r="B413" s="18" t="s">
        <v>3141</v>
      </c>
      <c r="C413" s="47" t="s">
        <v>3142</v>
      </c>
      <c r="D413" s="15" t="s">
        <v>83</v>
      </c>
      <c r="E413" s="68" t="s">
        <v>2</v>
      </c>
      <c r="F413" s="55" t="s">
        <v>2</v>
      </c>
      <c r="G413" s="40" t="s">
        <v>2745</v>
      </c>
      <c r="H413" s="71" t="s">
        <v>825</v>
      </c>
      <c r="I413" s="67" t="s">
        <v>8</v>
      </c>
      <c r="J413" s="73" t="s">
        <v>270</v>
      </c>
      <c r="K413" s="4">
        <v>500000</v>
      </c>
      <c r="L413" s="41">
        <v>94.11</v>
      </c>
      <c r="M413" s="4">
        <v>470550</v>
      </c>
      <c r="N413" s="4">
        <v>500000</v>
      </c>
      <c r="O413" s="4">
        <v>470550</v>
      </c>
      <c r="P413" s="4">
        <v>-29450</v>
      </c>
      <c r="Q413" s="4">
        <v>0</v>
      </c>
      <c r="R413" s="4">
        <v>0</v>
      </c>
      <c r="S413" s="4">
        <v>0</v>
      </c>
      <c r="T413" s="23">
        <v>4.75</v>
      </c>
      <c r="U413" s="23">
        <v>4.75</v>
      </c>
      <c r="V413" s="5" t="s">
        <v>1916</v>
      </c>
      <c r="W413" s="4">
        <v>10951</v>
      </c>
      <c r="X413" s="4">
        <v>23750</v>
      </c>
      <c r="Y413" s="14">
        <v>43627</v>
      </c>
      <c r="Z413" s="14">
        <v>46583</v>
      </c>
      <c r="AA413" s="2"/>
      <c r="AB413" s="69" t="s">
        <v>3892</v>
      </c>
      <c r="AC413" s="5" t="s">
        <v>4178</v>
      </c>
      <c r="AD413" s="2"/>
      <c r="AE413" s="14">
        <v>46492</v>
      </c>
      <c r="AF413" s="23">
        <v>100</v>
      </c>
      <c r="AG413" s="6"/>
      <c r="AH413" s="5" t="s">
        <v>2</v>
      </c>
      <c r="AI413" s="5" t="s">
        <v>332</v>
      </c>
      <c r="AJ413" s="5" t="s">
        <v>824</v>
      </c>
      <c r="AK413" s="21" t="s">
        <v>2</v>
      </c>
      <c r="AL413" s="72" t="s">
        <v>3894</v>
      </c>
      <c r="AM413" s="54" t="s">
        <v>4179</v>
      </c>
      <c r="AN413" s="34" t="s">
        <v>525</v>
      </c>
    </row>
    <row r="414" spans="2:40" x14ac:dyDescent="0.3">
      <c r="B414" s="18" t="s">
        <v>4276</v>
      </c>
      <c r="C414" s="47" t="s">
        <v>1708</v>
      </c>
      <c r="D414" s="15" t="s">
        <v>2357</v>
      </c>
      <c r="E414" s="68" t="s">
        <v>2</v>
      </c>
      <c r="F414" s="55" t="s">
        <v>2</v>
      </c>
      <c r="G414" s="40" t="s">
        <v>2745</v>
      </c>
      <c r="H414" s="71" t="s">
        <v>825</v>
      </c>
      <c r="I414" s="67" t="s">
        <v>8</v>
      </c>
      <c r="J414" s="73" t="s">
        <v>270</v>
      </c>
      <c r="K414" s="4">
        <v>4030000</v>
      </c>
      <c r="L414" s="41">
        <v>97.832999999999998</v>
      </c>
      <c r="M414" s="4">
        <v>3913320</v>
      </c>
      <c r="N414" s="4">
        <v>4000000</v>
      </c>
      <c r="O414" s="4">
        <v>3913320</v>
      </c>
      <c r="P414" s="4">
        <v>-92853</v>
      </c>
      <c r="Q414" s="4">
        <v>-4152</v>
      </c>
      <c r="R414" s="4">
        <v>0</v>
      </c>
      <c r="S414" s="4">
        <v>0</v>
      </c>
      <c r="T414" s="23">
        <v>4.125</v>
      </c>
      <c r="U414" s="23">
        <v>4.0119999999999996</v>
      </c>
      <c r="V414" s="5" t="s">
        <v>268</v>
      </c>
      <c r="W414" s="4">
        <v>62333</v>
      </c>
      <c r="X414" s="4">
        <v>165000</v>
      </c>
      <c r="Y414" s="14">
        <v>42590</v>
      </c>
      <c r="Z414" s="14">
        <v>45519</v>
      </c>
      <c r="AA414" s="2"/>
      <c r="AB414" s="69" t="s">
        <v>3892</v>
      </c>
      <c r="AC414" s="5" t="s">
        <v>4178</v>
      </c>
      <c r="AD414" s="2"/>
      <c r="AE414" s="14">
        <v>45427</v>
      </c>
      <c r="AF414" s="23">
        <v>100</v>
      </c>
      <c r="AG414" s="14">
        <v>45427</v>
      </c>
      <c r="AH414" s="5" t="s">
        <v>3143</v>
      </c>
      <c r="AI414" s="5" t="s">
        <v>2357</v>
      </c>
      <c r="AJ414" s="5" t="s">
        <v>2</v>
      </c>
      <c r="AK414" s="21" t="s">
        <v>2</v>
      </c>
      <c r="AL414" s="72" t="s">
        <v>3894</v>
      </c>
      <c r="AM414" s="54" t="s">
        <v>4179</v>
      </c>
      <c r="AN414" s="34" t="s">
        <v>525</v>
      </c>
    </row>
    <row r="415" spans="2:40" x14ac:dyDescent="0.3">
      <c r="B415" s="18" t="s">
        <v>887</v>
      </c>
      <c r="C415" s="47" t="s">
        <v>888</v>
      </c>
      <c r="D415" s="15" t="s">
        <v>1709</v>
      </c>
      <c r="E415" s="68" t="s">
        <v>2</v>
      </c>
      <c r="F415" s="55" t="s">
        <v>2</v>
      </c>
      <c r="G415" s="40" t="s">
        <v>2745</v>
      </c>
      <c r="H415" s="71" t="s">
        <v>3894</v>
      </c>
      <c r="I415" s="67" t="s">
        <v>1164</v>
      </c>
      <c r="J415" s="73" t="s">
        <v>270</v>
      </c>
      <c r="K415" s="4">
        <v>9985600</v>
      </c>
      <c r="L415" s="41">
        <v>90.888999999999996</v>
      </c>
      <c r="M415" s="4">
        <v>9088900</v>
      </c>
      <c r="N415" s="4">
        <v>10000000</v>
      </c>
      <c r="O415" s="4">
        <v>9991958</v>
      </c>
      <c r="P415" s="4">
        <v>0</v>
      </c>
      <c r="Q415" s="4">
        <v>2745</v>
      </c>
      <c r="R415" s="4">
        <v>0</v>
      </c>
      <c r="S415" s="4">
        <v>0</v>
      </c>
      <c r="T415" s="23">
        <v>2.6</v>
      </c>
      <c r="U415" s="23">
        <v>2.63</v>
      </c>
      <c r="V415" s="5" t="s">
        <v>3895</v>
      </c>
      <c r="W415" s="4">
        <v>54889</v>
      </c>
      <c r="X415" s="4">
        <v>260000</v>
      </c>
      <c r="Y415" s="14">
        <v>44085</v>
      </c>
      <c r="Z415" s="14">
        <v>45945</v>
      </c>
      <c r="AA415" s="2"/>
      <c r="AB415" s="69" t="s">
        <v>3892</v>
      </c>
      <c r="AC415" s="5" t="s">
        <v>4178</v>
      </c>
      <c r="AD415" s="2"/>
      <c r="AE415" s="14">
        <v>45915</v>
      </c>
      <c r="AF415" s="23">
        <v>100</v>
      </c>
      <c r="AG415" s="6"/>
      <c r="AH415" s="5" t="s">
        <v>2</v>
      </c>
      <c r="AI415" s="5" t="s">
        <v>3474</v>
      </c>
      <c r="AJ415" s="5" t="s">
        <v>824</v>
      </c>
      <c r="AK415" s="21" t="s">
        <v>2</v>
      </c>
      <c r="AL415" s="72" t="s">
        <v>3894</v>
      </c>
      <c r="AM415" s="54" t="s">
        <v>4179</v>
      </c>
      <c r="AN415" s="34" t="s">
        <v>828</v>
      </c>
    </row>
    <row r="416" spans="2:40" x14ac:dyDescent="0.3">
      <c r="B416" s="18" t="s">
        <v>2827</v>
      </c>
      <c r="C416" s="47" t="s">
        <v>1233</v>
      </c>
      <c r="D416" s="15" t="s">
        <v>4277</v>
      </c>
      <c r="E416" s="68" t="s">
        <v>2</v>
      </c>
      <c r="F416" s="55" t="s">
        <v>2</v>
      </c>
      <c r="G416" s="40" t="s">
        <v>2745</v>
      </c>
      <c r="H416" s="71" t="s">
        <v>825</v>
      </c>
      <c r="I416" s="67" t="s">
        <v>8</v>
      </c>
      <c r="J416" s="73" t="s">
        <v>270</v>
      </c>
      <c r="K416" s="4">
        <v>7017500</v>
      </c>
      <c r="L416" s="41">
        <v>84.962999999999994</v>
      </c>
      <c r="M416" s="4">
        <v>5947410</v>
      </c>
      <c r="N416" s="4">
        <v>7000000</v>
      </c>
      <c r="O416" s="4">
        <v>5947410</v>
      </c>
      <c r="P416" s="4">
        <v>-1039946</v>
      </c>
      <c r="Q416" s="4">
        <v>-3334</v>
      </c>
      <c r="R416" s="4">
        <v>0</v>
      </c>
      <c r="S416" s="4">
        <v>0</v>
      </c>
      <c r="T416" s="23">
        <v>4</v>
      </c>
      <c r="U416" s="23">
        <v>3.9409999999999998</v>
      </c>
      <c r="V416" s="5" t="s">
        <v>268</v>
      </c>
      <c r="W416" s="4">
        <v>105778</v>
      </c>
      <c r="X416" s="4">
        <v>280000</v>
      </c>
      <c r="Y416" s="14">
        <v>44475</v>
      </c>
      <c r="Z416" s="14">
        <v>46980</v>
      </c>
      <c r="AA416" s="2"/>
      <c r="AB416" s="69" t="s">
        <v>3892</v>
      </c>
      <c r="AC416" s="5" t="s">
        <v>4178</v>
      </c>
      <c r="AD416" s="2"/>
      <c r="AE416" s="14">
        <v>46249</v>
      </c>
      <c r="AF416" s="23">
        <v>100</v>
      </c>
      <c r="AG416" s="9">
        <v>46249</v>
      </c>
      <c r="AH416" s="5" t="s">
        <v>2006</v>
      </c>
      <c r="AI416" s="5" t="s">
        <v>889</v>
      </c>
      <c r="AJ416" s="5" t="s">
        <v>824</v>
      </c>
      <c r="AK416" s="21" t="s">
        <v>2</v>
      </c>
      <c r="AL416" s="72" t="s">
        <v>3894</v>
      </c>
      <c r="AM416" s="54" t="s">
        <v>4179</v>
      </c>
      <c r="AN416" s="34" t="s">
        <v>525</v>
      </c>
    </row>
    <row r="417" spans="2:40" x14ac:dyDescent="0.3">
      <c r="B417" s="18" t="s">
        <v>3961</v>
      </c>
      <c r="C417" s="47" t="s">
        <v>2587</v>
      </c>
      <c r="D417" s="15" t="s">
        <v>2007</v>
      </c>
      <c r="E417" s="68" t="s">
        <v>2</v>
      </c>
      <c r="F417" s="55" t="s">
        <v>2</v>
      </c>
      <c r="G417" s="40" t="s">
        <v>2</v>
      </c>
      <c r="H417" s="71" t="s">
        <v>2745</v>
      </c>
      <c r="I417" s="67" t="s">
        <v>8</v>
      </c>
      <c r="J417" s="73" t="s">
        <v>270</v>
      </c>
      <c r="K417" s="4">
        <v>6988380</v>
      </c>
      <c r="L417" s="41">
        <v>85.805999999999997</v>
      </c>
      <c r="M417" s="4">
        <v>6006420</v>
      </c>
      <c r="N417" s="4">
        <v>7000000</v>
      </c>
      <c r="O417" s="4">
        <v>6992375</v>
      </c>
      <c r="P417" s="4">
        <v>0</v>
      </c>
      <c r="Q417" s="4">
        <v>1624</v>
      </c>
      <c r="R417" s="4">
        <v>0</v>
      </c>
      <c r="S417" s="4">
        <v>0</v>
      </c>
      <c r="T417" s="23">
        <v>1.4</v>
      </c>
      <c r="U417" s="23">
        <v>1.425</v>
      </c>
      <c r="V417" s="5" t="s">
        <v>1916</v>
      </c>
      <c r="W417" s="4">
        <v>47639</v>
      </c>
      <c r="X417" s="4">
        <v>98000</v>
      </c>
      <c r="Y417" s="14">
        <v>44012</v>
      </c>
      <c r="Z417" s="14">
        <v>46574</v>
      </c>
      <c r="AA417" s="2"/>
      <c r="AB417" s="69" t="s">
        <v>3892</v>
      </c>
      <c r="AC417" s="5" t="s">
        <v>4178</v>
      </c>
      <c r="AD417" s="2"/>
      <c r="AE417" s="10"/>
      <c r="AF417" s="23"/>
      <c r="AG417" s="6"/>
      <c r="AH417" s="5" t="s">
        <v>2</v>
      </c>
      <c r="AI417" s="5" t="s">
        <v>890</v>
      </c>
      <c r="AJ417" s="5" t="s">
        <v>824</v>
      </c>
      <c r="AK417" s="21" t="s">
        <v>2</v>
      </c>
      <c r="AL417" s="72" t="s">
        <v>2745</v>
      </c>
      <c r="AM417" s="54" t="s">
        <v>4179</v>
      </c>
      <c r="AN417" s="34" t="s">
        <v>1923</v>
      </c>
    </row>
    <row r="418" spans="2:40" x14ac:dyDescent="0.3">
      <c r="B418" s="18" t="s">
        <v>565</v>
      </c>
      <c r="C418" s="47" t="s">
        <v>2008</v>
      </c>
      <c r="D418" s="15" t="s">
        <v>2007</v>
      </c>
      <c r="E418" s="68" t="s">
        <v>2</v>
      </c>
      <c r="F418" s="55" t="s">
        <v>2</v>
      </c>
      <c r="G418" s="40" t="s">
        <v>2</v>
      </c>
      <c r="H418" s="71" t="s">
        <v>2745</v>
      </c>
      <c r="I418" s="67" t="s">
        <v>8</v>
      </c>
      <c r="J418" s="73" t="s">
        <v>270</v>
      </c>
      <c r="K418" s="4">
        <v>9960700</v>
      </c>
      <c r="L418" s="41">
        <v>84.183000000000007</v>
      </c>
      <c r="M418" s="4">
        <v>8418300</v>
      </c>
      <c r="N418" s="4">
        <v>10000000</v>
      </c>
      <c r="O418" s="4">
        <v>9972209</v>
      </c>
      <c r="P418" s="4">
        <v>0</v>
      </c>
      <c r="Q418" s="4">
        <v>5476</v>
      </c>
      <c r="R418" s="4">
        <v>0</v>
      </c>
      <c r="S418" s="4">
        <v>0</v>
      </c>
      <c r="T418" s="23">
        <v>1.25</v>
      </c>
      <c r="U418" s="23">
        <v>1.3089999999999999</v>
      </c>
      <c r="V418" s="5" t="s">
        <v>3409</v>
      </c>
      <c r="W418" s="4">
        <v>14583</v>
      </c>
      <c r="X418" s="4">
        <v>125000</v>
      </c>
      <c r="Y418" s="14">
        <v>44151</v>
      </c>
      <c r="Z418" s="14">
        <v>46710</v>
      </c>
      <c r="AA418" s="2"/>
      <c r="AB418" s="69" t="s">
        <v>3892</v>
      </c>
      <c r="AC418" s="5" t="s">
        <v>4178</v>
      </c>
      <c r="AD418" s="2"/>
      <c r="AE418" s="10"/>
      <c r="AF418" s="23"/>
      <c r="AG418" s="10"/>
      <c r="AH418" s="5" t="s">
        <v>2</v>
      </c>
      <c r="AI418" s="5" t="s">
        <v>890</v>
      </c>
      <c r="AJ418" s="5" t="s">
        <v>824</v>
      </c>
      <c r="AK418" s="21" t="s">
        <v>2</v>
      </c>
      <c r="AL418" s="72" t="s">
        <v>2745</v>
      </c>
      <c r="AM418" s="54" t="s">
        <v>4179</v>
      </c>
      <c r="AN418" s="34" t="s">
        <v>1923</v>
      </c>
    </row>
    <row r="419" spans="2:40" x14ac:dyDescent="0.3">
      <c r="B419" s="18" t="s">
        <v>1710</v>
      </c>
      <c r="C419" s="47" t="s">
        <v>891</v>
      </c>
      <c r="D419" s="15" t="s">
        <v>2828</v>
      </c>
      <c r="E419" s="68" t="s">
        <v>2</v>
      </c>
      <c r="F419" s="55" t="s">
        <v>2</v>
      </c>
      <c r="G419" s="40" t="s">
        <v>2745</v>
      </c>
      <c r="H419" s="71" t="s">
        <v>3894</v>
      </c>
      <c r="I419" s="67" t="s">
        <v>1164</v>
      </c>
      <c r="J419" s="73" t="s">
        <v>270</v>
      </c>
      <c r="K419" s="4">
        <v>4624658</v>
      </c>
      <c r="L419" s="41">
        <v>87.885000000000005</v>
      </c>
      <c r="M419" s="4">
        <v>4086653</v>
      </c>
      <c r="N419" s="4">
        <v>4650000</v>
      </c>
      <c r="O419" s="4">
        <v>4627309</v>
      </c>
      <c r="P419" s="4">
        <v>0</v>
      </c>
      <c r="Q419" s="4">
        <v>2651</v>
      </c>
      <c r="R419" s="4">
        <v>0</v>
      </c>
      <c r="S419" s="4">
        <v>0</v>
      </c>
      <c r="T419" s="23">
        <v>3.375</v>
      </c>
      <c r="U419" s="23">
        <v>3.4630000000000001</v>
      </c>
      <c r="V419" s="5" t="s">
        <v>10</v>
      </c>
      <c r="W419" s="4">
        <v>46209</v>
      </c>
      <c r="X419" s="4">
        <v>81084</v>
      </c>
      <c r="Y419" s="14">
        <v>44622</v>
      </c>
      <c r="Z419" s="14">
        <v>47192</v>
      </c>
      <c r="AA419" s="2"/>
      <c r="AB419" s="69" t="s">
        <v>3892</v>
      </c>
      <c r="AC419" s="5" t="s">
        <v>4178</v>
      </c>
      <c r="AD419" s="2"/>
      <c r="AE419" s="14">
        <v>47133</v>
      </c>
      <c r="AF419" s="23">
        <v>100</v>
      </c>
      <c r="AG419" s="6"/>
      <c r="AH419" s="5" t="s">
        <v>892</v>
      </c>
      <c r="AI419" s="5" t="s">
        <v>4278</v>
      </c>
      <c r="AJ419" s="5" t="s">
        <v>824</v>
      </c>
      <c r="AK419" s="21" t="s">
        <v>2</v>
      </c>
      <c r="AL419" s="72" t="s">
        <v>2745</v>
      </c>
      <c r="AM419" s="54" t="s">
        <v>4179</v>
      </c>
      <c r="AN419" s="34" t="s">
        <v>828</v>
      </c>
    </row>
    <row r="420" spans="2:40" x14ac:dyDescent="0.3">
      <c r="B420" s="18" t="s">
        <v>2829</v>
      </c>
      <c r="C420" s="47" t="s">
        <v>566</v>
      </c>
      <c r="D420" s="15" t="s">
        <v>3708</v>
      </c>
      <c r="E420" s="68" t="s">
        <v>2</v>
      </c>
      <c r="F420" s="55" t="s">
        <v>2</v>
      </c>
      <c r="G420" s="40" t="s">
        <v>2745</v>
      </c>
      <c r="H420" s="71" t="s">
        <v>825</v>
      </c>
      <c r="I420" s="67" t="s">
        <v>1164</v>
      </c>
      <c r="J420" s="73" t="s">
        <v>270</v>
      </c>
      <c r="K420" s="4">
        <v>2000000</v>
      </c>
      <c r="L420" s="41">
        <v>97.033000000000001</v>
      </c>
      <c r="M420" s="4">
        <v>1940660</v>
      </c>
      <c r="N420" s="4">
        <v>2000000</v>
      </c>
      <c r="O420" s="4">
        <v>1940660</v>
      </c>
      <c r="P420" s="4">
        <v>-59340</v>
      </c>
      <c r="Q420" s="4">
        <v>0</v>
      </c>
      <c r="R420" s="4">
        <v>0</v>
      </c>
      <c r="S420" s="4">
        <v>0</v>
      </c>
      <c r="T420" s="23">
        <v>4.625</v>
      </c>
      <c r="U420" s="23">
        <v>4.625</v>
      </c>
      <c r="V420" s="5" t="s">
        <v>3409</v>
      </c>
      <c r="W420" s="4">
        <v>11819</v>
      </c>
      <c r="X420" s="4">
        <v>92500</v>
      </c>
      <c r="Y420" s="14">
        <v>42493</v>
      </c>
      <c r="Z420" s="14">
        <v>45427</v>
      </c>
      <c r="AA420" s="2"/>
      <c r="AB420" s="69" t="s">
        <v>3892</v>
      </c>
      <c r="AC420" s="5" t="s">
        <v>4178</v>
      </c>
      <c r="AD420" s="2"/>
      <c r="AE420" s="9">
        <v>45337</v>
      </c>
      <c r="AF420" s="23">
        <v>100</v>
      </c>
      <c r="AG420" s="6"/>
      <c r="AH420" s="5" t="s">
        <v>4279</v>
      </c>
      <c r="AI420" s="5" t="s">
        <v>3708</v>
      </c>
      <c r="AJ420" s="5" t="s">
        <v>2</v>
      </c>
      <c r="AK420" s="21" t="s">
        <v>2</v>
      </c>
      <c r="AL420" s="72" t="s">
        <v>3894</v>
      </c>
      <c r="AM420" s="54" t="s">
        <v>4179</v>
      </c>
      <c r="AN420" s="34" t="s">
        <v>302</v>
      </c>
    </row>
    <row r="421" spans="2:40" x14ac:dyDescent="0.3">
      <c r="B421" s="18" t="s">
        <v>4280</v>
      </c>
      <c r="C421" s="47" t="s">
        <v>893</v>
      </c>
      <c r="D421" s="15" t="s">
        <v>2358</v>
      </c>
      <c r="E421" s="68" t="s">
        <v>2</v>
      </c>
      <c r="F421" s="55" t="s">
        <v>2</v>
      </c>
      <c r="G421" s="40" t="s">
        <v>2</v>
      </c>
      <c r="H421" s="71" t="s">
        <v>2745</v>
      </c>
      <c r="I421" s="67" t="s">
        <v>1414</v>
      </c>
      <c r="J421" s="73" t="s">
        <v>270</v>
      </c>
      <c r="K421" s="4">
        <v>3000000</v>
      </c>
      <c r="L421" s="41">
        <v>99.046000000000006</v>
      </c>
      <c r="M421" s="4">
        <v>2971380</v>
      </c>
      <c r="N421" s="4">
        <v>3000000</v>
      </c>
      <c r="O421" s="4">
        <v>3000000</v>
      </c>
      <c r="P421" s="4">
        <v>0</v>
      </c>
      <c r="Q421" s="4">
        <v>0</v>
      </c>
      <c r="R421" s="4">
        <v>0</v>
      </c>
      <c r="S421" s="4">
        <v>0</v>
      </c>
      <c r="T421" s="23">
        <v>3.16</v>
      </c>
      <c r="U421" s="23">
        <v>3.16</v>
      </c>
      <c r="V421" s="5" t="s">
        <v>3898</v>
      </c>
      <c r="W421" s="4">
        <v>6320</v>
      </c>
      <c r="X421" s="4">
        <v>94800</v>
      </c>
      <c r="Y421" s="14">
        <v>42429</v>
      </c>
      <c r="Z421" s="14">
        <v>45084</v>
      </c>
      <c r="AA421" s="2"/>
      <c r="AB421" s="69" t="s">
        <v>2783</v>
      </c>
      <c r="AC421" s="5" t="s">
        <v>2</v>
      </c>
      <c r="AD421" s="2"/>
      <c r="AE421" s="6"/>
      <c r="AF421" s="23"/>
      <c r="AG421" s="6"/>
      <c r="AH421" s="5" t="s">
        <v>2</v>
      </c>
      <c r="AI421" s="5" t="s">
        <v>333</v>
      </c>
      <c r="AJ421" s="5" t="s">
        <v>333</v>
      </c>
      <c r="AK421" s="21" t="s">
        <v>2</v>
      </c>
      <c r="AL421" s="72" t="s">
        <v>2745</v>
      </c>
      <c r="AM421" s="54" t="s">
        <v>4179</v>
      </c>
      <c r="AN421" s="34" t="s">
        <v>512</v>
      </c>
    </row>
    <row r="422" spans="2:40" x14ac:dyDescent="0.3">
      <c r="B422" s="18" t="s">
        <v>894</v>
      </c>
      <c r="C422" s="47" t="s">
        <v>567</v>
      </c>
      <c r="D422" s="15" t="s">
        <v>4281</v>
      </c>
      <c r="E422" s="68" t="s">
        <v>2</v>
      </c>
      <c r="F422" s="55" t="s">
        <v>2</v>
      </c>
      <c r="G422" s="40" t="s">
        <v>2</v>
      </c>
      <c r="H422" s="71" t="s">
        <v>2745</v>
      </c>
      <c r="I422" s="67" t="s">
        <v>1414</v>
      </c>
      <c r="J422" s="73" t="s">
        <v>270</v>
      </c>
      <c r="K422" s="4">
        <v>3500000</v>
      </c>
      <c r="L422" s="41">
        <v>97.100999999999999</v>
      </c>
      <c r="M422" s="4">
        <v>3398535</v>
      </c>
      <c r="N422" s="4">
        <v>3500000</v>
      </c>
      <c r="O422" s="4">
        <v>3500000</v>
      </c>
      <c r="P422" s="4">
        <v>0</v>
      </c>
      <c r="Q422" s="4">
        <v>0</v>
      </c>
      <c r="R422" s="4">
        <v>0</v>
      </c>
      <c r="S422" s="4">
        <v>0</v>
      </c>
      <c r="T422" s="23">
        <v>3.18</v>
      </c>
      <c r="U422" s="23">
        <v>3.18</v>
      </c>
      <c r="V422" s="5" t="s">
        <v>3898</v>
      </c>
      <c r="W422" s="4">
        <v>7420</v>
      </c>
      <c r="X422" s="4">
        <v>111300</v>
      </c>
      <c r="Y422" s="14">
        <v>42893</v>
      </c>
      <c r="Z422" s="14">
        <v>45450</v>
      </c>
      <c r="AA422" s="2"/>
      <c r="AB422" s="69" t="s">
        <v>2783</v>
      </c>
      <c r="AC422" s="5" t="s">
        <v>2</v>
      </c>
      <c r="AD422" s="2"/>
      <c r="AE422" s="6"/>
      <c r="AF422" s="23"/>
      <c r="AG422" s="6"/>
      <c r="AH422" s="5" t="s">
        <v>2</v>
      </c>
      <c r="AI422" s="5" t="s">
        <v>4281</v>
      </c>
      <c r="AJ422" s="5" t="s">
        <v>2</v>
      </c>
      <c r="AK422" s="21" t="s">
        <v>2</v>
      </c>
      <c r="AL422" s="72" t="s">
        <v>2745</v>
      </c>
      <c r="AM422" s="54" t="s">
        <v>4179</v>
      </c>
      <c r="AN422" s="34" t="s">
        <v>512</v>
      </c>
    </row>
    <row r="423" spans="2:40" x14ac:dyDescent="0.3">
      <c r="B423" s="18" t="s">
        <v>2009</v>
      </c>
      <c r="C423" s="47" t="s">
        <v>3144</v>
      </c>
      <c r="D423" s="15" t="s">
        <v>4281</v>
      </c>
      <c r="E423" s="68" t="s">
        <v>2</v>
      </c>
      <c r="F423" s="55" t="s">
        <v>2</v>
      </c>
      <c r="G423" s="40" t="s">
        <v>2</v>
      </c>
      <c r="H423" s="71" t="s">
        <v>2745</v>
      </c>
      <c r="I423" s="67" t="s">
        <v>1414</v>
      </c>
      <c r="J423" s="73" t="s">
        <v>270</v>
      </c>
      <c r="K423" s="4">
        <v>7247835</v>
      </c>
      <c r="L423" s="41">
        <v>93.71</v>
      </c>
      <c r="M423" s="4">
        <v>6231715</v>
      </c>
      <c r="N423" s="4">
        <v>6650000</v>
      </c>
      <c r="O423" s="4">
        <v>7090598</v>
      </c>
      <c r="P423" s="4">
        <v>0</v>
      </c>
      <c r="Q423" s="4">
        <v>-74701</v>
      </c>
      <c r="R423" s="4">
        <v>0</v>
      </c>
      <c r="S423" s="4">
        <v>0</v>
      </c>
      <c r="T423" s="23">
        <v>3.86</v>
      </c>
      <c r="U423" s="23">
        <v>2.5459999999999998</v>
      </c>
      <c r="V423" s="5" t="s">
        <v>3898</v>
      </c>
      <c r="W423" s="4">
        <v>17113</v>
      </c>
      <c r="X423" s="4">
        <v>256690</v>
      </c>
      <c r="Y423" s="14">
        <v>44132</v>
      </c>
      <c r="Z423" s="14">
        <v>46911</v>
      </c>
      <c r="AA423" s="2"/>
      <c r="AB423" s="69" t="s">
        <v>2783</v>
      </c>
      <c r="AC423" s="5" t="s">
        <v>2</v>
      </c>
      <c r="AD423" s="2"/>
      <c r="AE423" s="10"/>
      <c r="AF423" s="23"/>
      <c r="AG423" s="6"/>
      <c r="AH423" s="5" t="s">
        <v>2</v>
      </c>
      <c r="AI423" s="5" t="s">
        <v>4281</v>
      </c>
      <c r="AJ423" s="5" t="s">
        <v>2</v>
      </c>
      <c r="AK423" s="21" t="s">
        <v>2</v>
      </c>
      <c r="AL423" s="72" t="s">
        <v>2745</v>
      </c>
      <c r="AM423" s="54" t="s">
        <v>4179</v>
      </c>
      <c r="AN423" s="34" t="s">
        <v>512</v>
      </c>
    </row>
    <row r="424" spans="2:40" x14ac:dyDescent="0.3">
      <c r="B424" s="18" t="s">
        <v>3145</v>
      </c>
      <c r="C424" s="47" t="s">
        <v>4282</v>
      </c>
      <c r="D424" s="15" t="s">
        <v>4281</v>
      </c>
      <c r="E424" s="68" t="s">
        <v>2</v>
      </c>
      <c r="F424" s="55" t="s">
        <v>2</v>
      </c>
      <c r="G424" s="40" t="s">
        <v>2</v>
      </c>
      <c r="H424" s="71" t="s">
        <v>2745</v>
      </c>
      <c r="I424" s="67" t="s">
        <v>1414</v>
      </c>
      <c r="J424" s="73" t="s">
        <v>270</v>
      </c>
      <c r="K424" s="4">
        <v>5000000</v>
      </c>
      <c r="L424" s="41">
        <v>90.274000000000001</v>
      </c>
      <c r="M424" s="4">
        <v>4513700</v>
      </c>
      <c r="N424" s="4">
        <v>5000000</v>
      </c>
      <c r="O424" s="4">
        <v>5000000</v>
      </c>
      <c r="P424" s="4">
        <v>0</v>
      </c>
      <c r="Q424" s="4">
        <v>0</v>
      </c>
      <c r="R424" s="4">
        <v>0</v>
      </c>
      <c r="S424" s="4">
        <v>0</v>
      </c>
      <c r="T424" s="23">
        <v>2.6</v>
      </c>
      <c r="U424" s="23">
        <v>2.6</v>
      </c>
      <c r="V424" s="5" t="s">
        <v>3898</v>
      </c>
      <c r="W424" s="4">
        <v>8667</v>
      </c>
      <c r="X424" s="4">
        <v>130000</v>
      </c>
      <c r="Y424" s="14">
        <v>43990</v>
      </c>
      <c r="Z424" s="14">
        <v>46545</v>
      </c>
      <c r="AA424" s="2"/>
      <c r="AB424" s="69" t="s">
        <v>2783</v>
      </c>
      <c r="AC424" s="5" t="s">
        <v>2</v>
      </c>
      <c r="AD424" s="2"/>
      <c r="AE424" s="10"/>
      <c r="AF424" s="23"/>
      <c r="AG424" s="6"/>
      <c r="AH424" s="5" t="s">
        <v>2</v>
      </c>
      <c r="AI424" s="5" t="s">
        <v>4281</v>
      </c>
      <c r="AJ424" s="5" t="s">
        <v>2</v>
      </c>
      <c r="AK424" s="21" t="s">
        <v>2</v>
      </c>
      <c r="AL424" s="72" t="s">
        <v>2745</v>
      </c>
      <c r="AM424" s="54" t="s">
        <v>4179</v>
      </c>
      <c r="AN424" s="34" t="s">
        <v>512</v>
      </c>
    </row>
    <row r="425" spans="2:40" x14ac:dyDescent="0.3">
      <c r="B425" s="18" t="s">
        <v>4283</v>
      </c>
      <c r="C425" s="47" t="s">
        <v>2010</v>
      </c>
      <c r="D425" s="15" t="s">
        <v>4281</v>
      </c>
      <c r="E425" s="68" t="s">
        <v>2</v>
      </c>
      <c r="F425" s="55" t="s">
        <v>2</v>
      </c>
      <c r="G425" s="40" t="s">
        <v>2</v>
      </c>
      <c r="H425" s="71" t="s">
        <v>2745</v>
      </c>
      <c r="I425" s="67" t="s">
        <v>1414</v>
      </c>
      <c r="J425" s="73" t="s">
        <v>270</v>
      </c>
      <c r="K425" s="4">
        <v>2000000</v>
      </c>
      <c r="L425" s="41">
        <v>86.733999999999995</v>
      </c>
      <c r="M425" s="4">
        <v>1734680</v>
      </c>
      <c r="N425" s="4">
        <v>2000000</v>
      </c>
      <c r="O425" s="4">
        <v>2000000</v>
      </c>
      <c r="P425" s="4">
        <v>0</v>
      </c>
      <c r="Q425" s="4">
        <v>0</v>
      </c>
      <c r="R425" s="4">
        <v>0</v>
      </c>
      <c r="S425" s="4">
        <v>0</v>
      </c>
      <c r="T425" s="23">
        <v>2.37</v>
      </c>
      <c r="U425" s="23">
        <v>2.37</v>
      </c>
      <c r="V425" s="5" t="s">
        <v>3898</v>
      </c>
      <c r="W425" s="4">
        <v>3160</v>
      </c>
      <c r="X425" s="4">
        <v>47400</v>
      </c>
      <c r="Y425" s="14">
        <v>44354</v>
      </c>
      <c r="Z425" s="14">
        <v>46911</v>
      </c>
      <c r="AA425" s="2"/>
      <c r="AB425" s="69" t="s">
        <v>2783</v>
      </c>
      <c r="AC425" s="5" t="s">
        <v>2</v>
      </c>
      <c r="AD425" s="2"/>
      <c r="AE425" s="10"/>
      <c r="AF425" s="23"/>
      <c r="AG425" s="6"/>
      <c r="AH425" s="5" t="s">
        <v>2</v>
      </c>
      <c r="AI425" s="5" t="s">
        <v>4281</v>
      </c>
      <c r="AJ425" s="5" t="s">
        <v>2</v>
      </c>
      <c r="AK425" s="21" t="s">
        <v>2</v>
      </c>
      <c r="AL425" s="72" t="s">
        <v>2745</v>
      </c>
      <c r="AM425" s="54" t="s">
        <v>4179</v>
      </c>
      <c r="AN425" s="34" t="s">
        <v>512</v>
      </c>
    </row>
    <row r="426" spans="2:40" x14ac:dyDescent="0.3">
      <c r="B426" s="18" t="s">
        <v>1711</v>
      </c>
      <c r="C426" s="47" t="s">
        <v>1712</v>
      </c>
      <c r="D426" s="15" t="s">
        <v>1460</v>
      </c>
      <c r="E426" s="68" t="s">
        <v>2</v>
      </c>
      <c r="F426" s="55" t="s">
        <v>2</v>
      </c>
      <c r="G426" s="40" t="s">
        <v>2745</v>
      </c>
      <c r="H426" s="71" t="s">
        <v>2745</v>
      </c>
      <c r="I426" s="67" t="s">
        <v>1414</v>
      </c>
      <c r="J426" s="73" t="s">
        <v>270</v>
      </c>
      <c r="K426" s="4">
        <v>4052520</v>
      </c>
      <c r="L426" s="41">
        <v>97.296999999999997</v>
      </c>
      <c r="M426" s="4">
        <v>3891880</v>
      </c>
      <c r="N426" s="4">
        <v>4000000</v>
      </c>
      <c r="O426" s="4">
        <v>4019562</v>
      </c>
      <c r="P426" s="4">
        <v>0</v>
      </c>
      <c r="Q426" s="4">
        <v>-9162</v>
      </c>
      <c r="R426" s="4">
        <v>0</v>
      </c>
      <c r="S426" s="4">
        <v>0</v>
      </c>
      <c r="T426" s="23">
        <v>4.1500000000000004</v>
      </c>
      <c r="U426" s="23">
        <v>3.895</v>
      </c>
      <c r="V426" s="5" t="s">
        <v>3409</v>
      </c>
      <c r="W426" s="4">
        <v>21211</v>
      </c>
      <c r="X426" s="4">
        <v>166000</v>
      </c>
      <c r="Y426" s="14">
        <v>43529</v>
      </c>
      <c r="Z426" s="14">
        <v>45792</v>
      </c>
      <c r="AA426" s="2"/>
      <c r="AB426" s="69" t="s">
        <v>3892</v>
      </c>
      <c r="AC426" s="5" t="s">
        <v>4178</v>
      </c>
      <c r="AD426" s="2"/>
      <c r="AE426" s="14">
        <v>45703</v>
      </c>
      <c r="AF426" s="23">
        <v>100</v>
      </c>
      <c r="AG426" s="9">
        <v>45703</v>
      </c>
      <c r="AH426" s="5" t="s">
        <v>3475</v>
      </c>
      <c r="AI426" s="5" t="s">
        <v>1460</v>
      </c>
      <c r="AJ426" s="5" t="s">
        <v>2</v>
      </c>
      <c r="AK426" s="21" t="s">
        <v>2</v>
      </c>
      <c r="AL426" s="72" t="s">
        <v>3894</v>
      </c>
      <c r="AM426" s="54" t="s">
        <v>4179</v>
      </c>
      <c r="AN426" s="34" t="s">
        <v>512</v>
      </c>
    </row>
    <row r="427" spans="2:40" x14ac:dyDescent="0.3">
      <c r="B427" s="18" t="s">
        <v>2830</v>
      </c>
      <c r="C427" s="47" t="s">
        <v>2359</v>
      </c>
      <c r="D427" s="15" t="s">
        <v>1461</v>
      </c>
      <c r="E427" s="68" t="s">
        <v>2</v>
      </c>
      <c r="F427" s="55" t="s">
        <v>2</v>
      </c>
      <c r="G427" s="40" t="s">
        <v>2745</v>
      </c>
      <c r="H427" s="71" t="s">
        <v>3894</v>
      </c>
      <c r="I427" s="67" t="s">
        <v>8</v>
      </c>
      <c r="J427" s="73" t="s">
        <v>270</v>
      </c>
      <c r="K427" s="4">
        <v>14973000</v>
      </c>
      <c r="L427" s="41">
        <v>89.965999999999994</v>
      </c>
      <c r="M427" s="4">
        <v>13494900</v>
      </c>
      <c r="N427" s="4">
        <v>15000000</v>
      </c>
      <c r="O427" s="4">
        <v>14984483</v>
      </c>
      <c r="P427" s="4">
        <v>0</v>
      </c>
      <c r="Q427" s="4">
        <v>4598</v>
      </c>
      <c r="R427" s="4">
        <v>0</v>
      </c>
      <c r="S427" s="4">
        <v>0</v>
      </c>
      <c r="T427" s="23">
        <v>1.75</v>
      </c>
      <c r="U427" s="23">
        <v>1.7829999999999999</v>
      </c>
      <c r="V427" s="5" t="s">
        <v>3895</v>
      </c>
      <c r="W427" s="4">
        <v>65625</v>
      </c>
      <c r="X427" s="4">
        <v>262500</v>
      </c>
      <c r="Y427" s="14">
        <v>44026</v>
      </c>
      <c r="Z427" s="14">
        <v>46113</v>
      </c>
      <c r="AA427" s="2"/>
      <c r="AB427" s="69" t="s">
        <v>3892</v>
      </c>
      <c r="AC427" s="5" t="s">
        <v>4178</v>
      </c>
      <c r="AD427" s="2"/>
      <c r="AE427" s="14">
        <v>46082</v>
      </c>
      <c r="AF427" s="23">
        <v>100</v>
      </c>
      <c r="AG427" s="6"/>
      <c r="AH427" s="5" t="s">
        <v>2831</v>
      </c>
      <c r="AI427" s="5" t="s">
        <v>1461</v>
      </c>
      <c r="AJ427" s="5" t="s">
        <v>2</v>
      </c>
      <c r="AK427" s="21" t="s">
        <v>2</v>
      </c>
      <c r="AL427" s="72" t="s">
        <v>3894</v>
      </c>
      <c r="AM427" s="54" t="s">
        <v>4179</v>
      </c>
      <c r="AN427" s="34" t="s">
        <v>1189</v>
      </c>
    </row>
    <row r="428" spans="2:40" x14ac:dyDescent="0.3">
      <c r="B428" s="18" t="s">
        <v>3962</v>
      </c>
      <c r="C428" s="47" t="s">
        <v>3146</v>
      </c>
      <c r="D428" s="15" t="s">
        <v>4284</v>
      </c>
      <c r="E428" s="68" t="s">
        <v>2</v>
      </c>
      <c r="F428" s="55" t="s">
        <v>2</v>
      </c>
      <c r="G428" s="40" t="s">
        <v>2745</v>
      </c>
      <c r="H428" s="71" t="s">
        <v>2745</v>
      </c>
      <c r="I428" s="67" t="s">
        <v>287</v>
      </c>
      <c r="J428" s="73" t="s">
        <v>270</v>
      </c>
      <c r="K428" s="4">
        <v>8937470</v>
      </c>
      <c r="L428" s="41">
        <v>83.116</v>
      </c>
      <c r="M428" s="4">
        <v>7480440</v>
      </c>
      <c r="N428" s="4">
        <v>9000000</v>
      </c>
      <c r="O428" s="4">
        <v>8954307</v>
      </c>
      <c r="P428" s="4">
        <v>0</v>
      </c>
      <c r="Q428" s="4">
        <v>8509</v>
      </c>
      <c r="R428" s="4">
        <v>0</v>
      </c>
      <c r="S428" s="4">
        <v>0</v>
      </c>
      <c r="T428" s="23">
        <v>0.9</v>
      </c>
      <c r="U428" s="23">
        <v>1</v>
      </c>
      <c r="V428" s="5" t="s">
        <v>10</v>
      </c>
      <c r="W428" s="4">
        <v>23850</v>
      </c>
      <c r="X428" s="4">
        <v>81000</v>
      </c>
      <c r="Y428" s="14">
        <v>44202</v>
      </c>
      <c r="Z428" s="14">
        <v>46827</v>
      </c>
      <c r="AA428" s="2"/>
      <c r="AB428" s="69" t="s">
        <v>3892</v>
      </c>
      <c r="AC428" s="5" t="s">
        <v>4178</v>
      </c>
      <c r="AD428" s="2"/>
      <c r="AE428" s="14">
        <v>46767</v>
      </c>
      <c r="AF428" s="23">
        <v>100</v>
      </c>
      <c r="AG428" s="10"/>
      <c r="AH428" s="5" t="s">
        <v>3147</v>
      </c>
      <c r="AI428" s="5" t="s">
        <v>4284</v>
      </c>
      <c r="AJ428" s="5" t="s">
        <v>2</v>
      </c>
      <c r="AK428" s="21" t="s">
        <v>2</v>
      </c>
      <c r="AL428" s="72" t="s">
        <v>3894</v>
      </c>
      <c r="AM428" s="54" t="s">
        <v>4179</v>
      </c>
      <c r="AN428" s="34" t="s">
        <v>819</v>
      </c>
    </row>
    <row r="429" spans="2:40" x14ac:dyDescent="0.3">
      <c r="B429" s="18" t="s">
        <v>895</v>
      </c>
      <c r="C429" s="47" t="s">
        <v>3476</v>
      </c>
      <c r="D429" s="15" t="s">
        <v>1234</v>
      </c>
      <c r="E429" s="68" t="s">
        <v>2</v>
      </c>
      <c r="F429" s="55" t="s">
        <v>2</v>
      </c>
      <c r="G429" s="40" t="s">
        <v>2745</v>
      </c>
      <c r="H429" s="71" t="s">
        <v>3894</v>
      </c>
      <c r="I429" s="67" t="s">
        <v>3408</v>
      </c>
      <c r="J429" s="73" t="s">
        <v>270</v>
      </c>
      <c r="K429" s="4">
        <v>10351700</v>
      </c>
      <c r="L429" s="41">
        <v>91.275000000000006</v>
      </c>
      <c r="M429" s="4">
        <v>9127500</v>
      </c>
      <c r="N429" s="4">
        <v>10000000</v>
      </c>
      <c r="O429" s="4">
        <v>10219136</v>
      </c>
      <c r="P429" s="4">
        <v>0</v>
      </c>
      <c r="Q429" s="4">
        <v>-47002</v>
      </c>
      <c r="R429" s="4">
        <v>0</v>
      </c>
      <c r="S429" s="4">
        <v>0</v>
      </c>
      <c r="T429" s="23">
        <v>3.15</v>
      </c>
      <c r="U429" s="23">
        <v>2.613</v>
      </c>
      <c r="V429" s="5" t="s">
        <v>268</v>
      </c>
      <c r="W429" s="4">
        <v>119000</v>
      </c>
      <c r="X429" s="4">
        <v>315000</v>
      </c>
      <c r="Y429" s="14">
        <v>43867</v>
      </c>
      <c r="Z429" s="14">
        <v>46614</v>
      </c>
      <c r="AA429" s="2"/>
      <c r="AB429" s="69" t="s">
        <v>3892</v>
      </c>
      <c r="AC429" s="5" t="s">
        <v>4178</v>
      </c>
      <c r="AD429" s="2"/>
      <c r="AE429" s="14">
        <v>46522</v>
      </c>
      <c r="AF429" s="23">
        <v>100</v>
      </c>
      <c r="AG429" s="14">
        <v>46522</v>
      </c>
      <c r="AH429" s="5" t="s">
        <v>3148</v>
      </c>
      <c r="AI429" s="5" t="s">
        <v>2360</v>
      </c>
      <c r="AJ429" s="5" t="s">
        <v>334</v>
      </c>
      <c r="AK429" s="21" t="s">
        <v>2</v>
      </c>
      <c r="AL429" s="72" t="s">
        <v>3894</v>
      </c>
      <c r="AM429" s="54" t="s">
        <v>4179</v>
      </c>
      <c r="AN429" s="34" t="s">
        <v>1650</v>
      </c>
    </row>
    <row r="430" spans="2:40" x14ac:dyDescent="0.3">
      <c r="B430" s="18" t="s">
        <v>2011</v>
      </c>
      <c r="C430" s="47" t="s">
        <v>2588</v>
      </c>
      <c r="D430" s="15" t="s">
        <v>3477</v>
      </c>
      <c r="E430" s="68" t="s">
        <v>2</v>
      </c>
      <c r="F430" s="55" t="s">
        <v>2</v>
      </c>
      <c r="G430" s="40" t="s">
        <v>2745</v>
      </c>
      <c r="H430" s="71" t="s">
        <v>3894</v>
      </c>
      <c r="I430" s="67" t="s">
        <v>1164</v>
      </c>
      <c r="J430" s="73" t="s">
        <v>270</v>
      </c>
      <c r="K430" s="4">
        <v>4923200</v>
      </c>
      <c r="L430" s="41">
        <v>98.08</v>
      </c>
      <c r="M430" s="4">
        <v>4904000</v>
      </c>
      <c r="N430" s="4">
        <v>5000000</v>
      </c>
      <c r="O430" s="4">
        <v>4975039</v>
      </c>
      <c r="P430" s="4">
        <v>0</v>
      </c>
      <c r="Q430" s="4">
        <v>13489</v>
      </c>
      <c r="R430" s="4">
        <v>0</v>
      </c>
      <c r="S430" s="4">
        <v>0</v>
      </c>
      <c r="T430" s="23">
        <v>3.85</v>
      </c>
      <c r="U430" s="23">
        <v>4.149</v>
      </c>
      <c r="V430" s="5" t="s">
        <v>3895</v>
      </c>
      <c r="W430" s="4">
        <v>48125</v>
      </c>
      <c r="X430" s="4">
        <v>192500</v>
      </c>
      <c r="Y430" s="14">
        <v>43438</v>
      </c>
      <c r="Z430" s="14">
        <v>45566</v>
      </c>
      <c r="AA430" s="2"/>
      <c r="AB430" s="69" t="s">
        <v>3892</v>
      </c>
      <c r="AC430" s="5" t="s">
        <v>4178</v>
      </c>
      <c r="AD430" s="2"/>
      <c r="AE430" s="14">
        <v>45474</v>
      </c>
      <c r="AF430" s="23">
        <v>100</v>
      </c>
      <c r="AG430" s="6"/>
      <c r="AH430" s="5" t="s">
        <v>3963</v>
      </c>
      <c r="AI430" s="5" t="s">
        <v>3477</v>
      </c>
      <c r="AJ430" s="5" t="s">
        <v>2</v>
      </c>
      <c r="AK430" s="21" t="s">
        <v>2</v>
      </c>
      <c r="AL430" s="72" t="s">
        <v>3894</v>
      </c>
      <c r="AM430" s="54" t="s">
        <v>4179</v>
      </c>
      <c r="AN430" s="34" t="s">
        <v>828</v>
      </c>
    </row>
    <row r="431" spans="2:40" x14ac:dyDescent="0.3">
      <c r="B431" s="18" t="s">
        <v>3149</v>
      </c>
      <c r="C431" s="47" t="s">
        <v>3964</v>
      </c>
      <c r="D431" s="15" t="s">
        <v>3477</v>
      </c>
      <c r="E431" s="68" t="s">
        <v>2</v>
      </c>
      <c r="F431" s="55" t="s">
        <v>2</v>
      </c>
      <c r="G431" s="40" t="s">
        <v>2745</v>
      </c>
      <c r="H431" s="71" t="s">
        <v>3894</v>
      </c>
      <c r="I431" s="67" t="s">
        <v>1164</v>
      </c>
      <c r="J431" s="73" t="s">
        <v>270</v>
      </c>
      <c r="K431" s="4">
        <v>5005800</v>
      </c>
      <c r="L431" s="41">
        <v>91.483000000000004</v>
      </c>
      <c r="M431" s="4">
        <v>4574150</v>
      </c>
      <c r="N431" s="4">
        <v>5000000</v>
      </c>
      <c r="O431" s="4">
        <v>5005232</v>
      </c>
      <c r="P431" s="4">
        <v>0</v>
      </c>
      <c r="Q431" s="4">
        <v>-568</v>
      </c>
      <c r="R431" s="4">
        <v>0</v>
      </c>
      <c r="S431" s="4">
        <v>0</v>
      </c>
      <c r="T431" s="23">
        <v>3.7</v>
      </c>
      <c r="U431" s="23">
        <v>3.681</v>
      </c>
      <c r="V431" s="5" t="s">
        <v>10</v>
      </c>
      <c r="W431" s="4">
        <v>50361</v>
      </c>
      <c r="X431" s="4">
        <v>92500</v>
      </c>
      <c r="Y431" s="14">
        <v>44642</v>
      </c>
      <c r="Z431" s="14">
        <v>47200</v>
      </c>
      <c r="AA431" s="2"/>
      <c r="AB431" s="69" t="s">
        <v>3892</v>
      </c>
      <c r="AC431" s="5" t="s">
        <v>4178</v>
      </c>
      <c r="AD431" s="2"/>
      <c r="AE431" s="14">
        <v>47172</v>
      </c>
      <c r="AF431" s="23">
        <v>100</v>
      </c>
      <c r="AG431" s="9">
        <v>47172</v>
      </c>
      <c r="AH431" s="5" t="s">
        <v>3963</v>
      </c>
      <c r="AI431" s="5" t="s">
        <v>3477</v>
      </c>
      <c r="AJ431" s="5" t="s">
        <v>2</v>
      </c>
      <c r="AK431" s="21" t="s">
        <v>2</v>
      </c>
      <c r="AL431" s="72" t="s">
        <v>3894</v>
      </c>
      <c r="AM431" s="54" t="s">
        <v>4179</v>
      </c>
      <c r="AN431" s="34" t="s">
        <v>828</v>
      </c>
    </row>
    <row r="432" spans="2:40" x14ac:dyDescent="0.3">
      <c r="B432" s="18" t="s">
        <v>4285</v>
      </c>
      <c r="C432" s="47" t="s">
        <v>2361</v>
      </c>
      <c r="D432" s="15" t="s">
        <v>3709</v>
      </c>
      <c r="E432" s="68" t="s">
        <v>2</v>
      </c>
      <c r="F432" s="55" t="s">
        <v>2</v>
      </c>
      <c r="G432" s="40" t="s">
        <v>2745</v>
      </c>
      <c r="H432" s="71" t="s">
        <v>3894</v>
      </c>
      <c r="I432" s="67" t="s">
        <v>8</v>
      </c>
      <c r="J432" s="73" t="s">
        <v>270</v>
      </c>
      <c r="K432" s="4">
        <v>10214862</v>
      </c>
      <c r="L432" s="41">
        <v>95.977000000000004</v>
      </c>
      <c r="M432" s="4">
        <v>10269539</v>
      </c>
      <c r="N432" s="4">
        <v>10700000</v>
      </c>
      <c r="O432" s="4">
        <v>10241869</v>
      </c>
      <c r="P432" s="4">
        <v>0</v>
      </c>
      <c r="Q432" s="4">
        <v>27007</v>
      </c>
      <c r="R432" s="4">
        <v>0</v>
      </c>
      <c r="S432" s="4">
        <v>0</v>
      </c>
      <c r="T432" s="23">
        <v>4.1970000000000001</v>
      </c>
      <c r="U432" s="23">
        <v>6.0410000000000004</v>
      </c>
      <c r="V432" s="5" t="s">
        <v>1916</v>
      </c>
      <c r="W432" s="4">
        <v>207075</v>
      </c>
      <c r="X432" s="4">
        <v>0</v>
      </c>
      <c r="Y432" s="14">
        <v>44867</v>
      </c>
      <c r="Z432" s="14">
        <v>45853</v>
      </c>
      <c r="AA432" s="2"/>
      <c r="AB432" s="69" t="s">
        <v>3892</v>
      </c>
      <c r="AC432" s="5" t="s">
        <v>4178</v>
      </c>
      <c r="AD432" s="2"/>
      <c r="AE432" s="9">
        <v>45762</v>
      </c>
      <c r="AF432" s="23">
        <v>100</v>
      </c>
      <c r="AG432" s="6"/>
      <c r="AH432" s="5" t="s">
        <v>568</v>
      </c>
      <c r="AI432" s="5" t="s">
        <v>4286</v>
      </c>
      <c r="AJ432" s="5" t="s">
        <v>824</v>
      </c>
      <c r="AK432" s="21" t="s">
        <v>2</v>
      </c>
      <c r="AL432" s="72" t="s">
        <v>2745</v>
      </c>
      <c r="AM432" s="54" t="s">
        <v>4179</v>
      </c>
      <c r="AN432" s="34" t="s">
        <v>1189</v>
      </c>
    </row>
    <row r="433" spans="2:40" x14ac:dyDescent="0.3">
      <c r="B433" s="18" t="s">
        <v>896</v>
      </c>
      <c r="C433" s="47" t="s">
        <v>335</v>
      </c>
      <c r="D433" s="15" t="s">
        <v>4286</v>
      </c>
      <c r="E433" s="68" t="s">
        <v>2</v>
      </c>
      <c r="F433" s="55" t="s">
        <v>2</v>
      </c>
      <c r="G433" s="40" t="s">
        <v>2</v>
      </c>
      <c r="H433" s="71" t="s">
        <v>3894</v>
      </c>
      <c r="I433" s="67" t="s">
        <v>8</v>
      </c>
      <c r="J433" s="73" t="s">
        <v>270</v>
      </c>
      <c r="K433" s="4">
        <v>12000000</v>
      </c>
      <c r="L433" s="41">
        <v>91.33</v>
      </c>
      <c r="M433" s="4">
        <v>10959600</v>
      </c>
      <c r="N433" s="4">
        <v>12000000</v>
      </c>
      <c r="O433" s="4">
        <v>12000000</v>
      </c>
      <c r="P433" s="4">
        <v>0</v>
      </c>
      <c r="Q433" s="4">
        <v>0</v>
      </c>
      <c r="R433" s="4">
        <v>0</v>
      </c>
      <c r="S433" s="4">
        <v>0</v>
      </c>
      <c r="T433" s="23">
        <v>2.99</v>
      </c>
      <c r="U433" s="23">
        <v>2.9910000000000001</v>
      </c>
      <c r="V433" s="5" t="s">
        <v>3895</v>
      </c>
      <c r="W433" s="4">
        <v>72757</v>
      </c>
      <c r="X433" s="4">
        <v>358800</v>
      </c>
      <c r="Y433" s="14">
        <v>43809</v>
      </c>
      <c r="Z433" s="14">
        <v>46366</v>
      </c>
      <c r="AA433" s="2"/>
      <c r="AB433" s="69" t="s">
        <v>2783</v>
      </c>
      <c r="AC433" s="5" t="s">
        <v>2</v>
      </c>
      <c r="AD433" s="2"/>
      <c r="AE433" s="10"/>
      <c r="AF433" s="23"/>
      <c r="AG433" s="6"/>
      <c r="AH433" s="5" t="s">
        <v>568</v>
      </c>
      <c r="AI433" s="5" t="s">
        <v>4286</v>
      </c>
      <c r="AJ433" s="5" t="s">
        <v>2</v>
      </c>
      <c r="AK433" s="21" t="s">
        <v>2</v>
      </c>
      <c r="AL433" s="72" t="s">
        <v>2745</v>
      </c>
      <c r="AM433" s="54" t="s">
        <v>4179</v>
      </c>
      <c r="AN433" s="34" t="s">
        <v>1189</v>
      </c>
    </row>
    <row r="434" spans="2:40" x14ac:dyDescent="0.3">
      <c r="B434" s="18" t="s">
        <v>2012</v>
      </c>
      <c r="C434" s="47" t="s">
        <v>3478</v>
      </c>
      <c r="D434" s="15" t="s">
        <v>4286</v>
      </c>
      <c r="E434" s="68" t="s">
        <v>2</v>
      </c>
      <c r="F434" s="55" t="s">
        <v>2</v>
      </c>
      <c r="G434" s="40" t="s">
        <v>2</v>
      </c>
      <c r="H434" s="71" t="s">
        <v>3894</v>
      </c>
      <c r="I434" s="67" t="s">
        <v>8</v>
      </c>
      <c r="J434" s="73" t="s">
        <v>270</v>
      </c>
      <c r="K434" s="4">
        <v>5000000</v>
      </c>
      <c r="L434" s="41">
        <v>87.542000000000002</v>
      </c>
      <c r="M434" s="4">
        <v>4377100</v>
      </c>
      <c r="N434" s="4">
        <v>5000000</v>
      </c>
      <c r="O434" s="4">
        <v>5000000</v>
      </c>
      <c r="P434" s="4">
        <v>0</v>
      </c>
      <c r="Q434" s="4">
        <v>0</v>
      </c>
      <c r="R434" s="4">
        <v>0</v>
      </c>
      <c r="S434" s="4">
        <v>0</v>
      </c>
      <c r="T434" s="23">
        <v>3.17</v>
      </c>
      <c r="U434" s="23">
        <v>3.17</v>
      </c>
      <c r="V434" s="5" t="s">
        <v>10</v>
      </c>
      <c r="W434" s="4">
        <v>46669</v>
      </c>
      <c r="X434" s="4">
        <v>79250</v>
      </c>
      <c r="Y434" s="14">
        <v>44635</v>
      </c>
      <c r="Z434" s="14">
        <v>47192</v>
      </c>
      <c r="AA434" s="2"/>
      <c r="AB434" s="69" t="s">
        <v>2783</v>
      </c>
      <c r="AC434" s="5" t="s">
        <v>2</v>
      </c>
      <c r="AD434" s="2"/>
      <c r="AE434" s="10"/>
      <c r="AF434" s="23"/>
      <c r="AG434" s="6"/>
      <c r="AH434" s="5" t="s">
        <v>568</v>
      </c>
      <c r="AI434" s="5" t="s">
        <v>4286</v>
      </c>
      <c r="AJ434" s="5" t="s">
        <v>2</v>
      </c>
      <c r="AK434" s="21" t="s">
        <v>2</v>
      </c>
      <c r="AL434" s="72" t="s">
        <v>3894</v>
      </c>
      <c r="AM434" s="54" t="s">
        <v>4179</v>
      </c>
      <c r="AN434" s="34" t="s">
        <v>1189</v>
      </c>
    </row>
    <row r="435" spans="2:40" x14ac:dyDescent="0.3">
      <c r="B435" s="18" t="s">
        <v>3150</v>
      </c>
      <c r="C435" s="47" t="s">
        <v>1462</v>
      </c>
      <c r="D435" s="15" t="s">
        <v>569</v>
      </c>
      <c r="E435" s="68" t="s">
        <v>2</v>
      </c>
      <c r="F435" s="55" t="s">
        <v>2</v>
      </c>
      <c r="G435" s="40" t="s">
        <v>2745</v>
      </c>
      <c r="H435" s="71" t="s">
        <v>825</v>
      </c>
      <c r="I435" s="67" t="s">
        <v>8</v>
      </c>
      <c r="J435" s="73" t="s">
        <v>270</v>
      </c>
      <c r="K435" s="4">
        <v>1579640</v>
      </c>
      <c r="L435" s="41">
        <v>84.061999999999998</v>
      </c>
      <c r="M435" s="4">
        <v>1314730</v>
      </c>
      <c r="N435" s="4">
        <v>1564000</v>
      </c>
      <c r="O435" s="4">
        <v>1314730</v>
      </c>
      <c r="P435" s="4">
        <v>-262511</v>
      </c>
      <c r="Q435" s="4">
        <v>-1775</v>
      </c>
      <c r="R435" s="4">
        <v>0</v>
      </c>
      <c r="S435" s="4">
        <v>0</v>
      </c>
      <c r="T435" s="23">
        <v>4</v>
      </c>
      <c r="U435" s="23">
        <v>3.851</v>
      </c>
      <c r="V435" s="5" t="s">
        <v>3898</v>
      </c>
      <c r="W435" s="4">
        <v>2780</v>
      </c>
      <c r="X435" s="4">
        <v>62560</v>
      </c>
      <c r="Y435" s="14">
        <v>44413</v>
      </c>
      <c r="Z435" s="14">
        <v>48014</v>
      </c>
      <c r="AA435" s="2"/>
      <c r="AB435" s="69" t="s">
        <v>3892</v>
      </c>
      <c r="AC435" s="5" t="s">
        <v>4178</v>
      </c>
      <c r="AD435" s="2"/>
      <c r="AE435" s="9">
        <v>47284</v>
      </c>
      <c r="AF435" s="23">
        <v>100</v>
      </c>
      <c r="AG435" s="9">
        <v>47284</v>
      </c>
      <c r="AH435" s="5" t="s">
        <v>2</v>
      </c>
      <c r="AI435" s="5" t="s">
        <v>2362</v>
      </c>
      <c r="AJ435" s="5" t="s">
        <v>824</v>
      </c>
      <c r="AK435" s="21" t="s">
        <v>2</v>
      </c>
      <c r="AL435" s="72" t="s">
        <v>3894</v>
      </c>
      <c r="AM435" s="54" t="s">
        <v>4179</v>
      </c>
      <c r="AN435" s="34" t="s">
        <v>525</v>
      </c>
    </row>
    <row r="436" spans="2:40" x14ac:dyDescent="0.3">
      <c r="B436" s="18" t="s">
        <v>570</v>
      </c>
      <c r="C436" s="47" t="s">
        <v>2363</v>
      </c>
      <c r="D436" s="15" t="s">
        <v>1235</v>
      </c>
      <c r="E436" s="68" t="s">
        <v>2</v>
      </c>
      <c r="F436" s="55" t="s">
        <v>2</v>
      </c>
      <c r="G436" s="40" t="s">
        <v>2745</v>
      </c>
      <c r="H436" s="71" t="s">
        <v>3894</v>
      </c>
      <c r="I436" s="67" t="s">
        <v>8</v>
      </c>
      <c r="J436" s="73" t="s">
        <v>270</v>
      </c>
      <c r="K436" s="4">
        <v>4598250</v>
      </c>
      <c r="L436" s="41">
        <v>93.772999999999996</v>
      </c>
      <c r="M436" s="4">
        <v>4688650</v>
      </c>
      <c r="N436" s="4">
        <v>5000000</v>
      </c>
      <c r="O436" s="4">
        <v>4790724</v>
      </c>
      <c r="P436" s="4">
        <v>0</v>
      </c>
      <c r="Q436" s="4">
        <v>50266</v>
      </c>
      <c r="R436" s="4">
        <v>0</v>
      </c>
      <c r="S436" s="4">
        <v>0</v>
      </c>
      <c r="T436" s="23">
        <v>3.2</v>
      </c>
      <c r="U436" s="23">
        <v>4.4240000000000004</v>
      </c>
      <c r="V436" s="5" t="s">
        <v>3895</v>
      </c>
      <c r="W436" s="4">
        <v>40000</v>
      </c>
      <c r="X436" s="4">
        <v>160000</v>
      </c>
      <c r="Y436" s="14">
        <v>43432</v>
      </c>
      <c r="Z436" s="14">
        <v>46296</v>
      </c>
      <c r="AA436" s="2"/>
      <c r="AB436" s="69" t="s">
        <v>3892</v>
      </c>
      <c r="AC436" s="5" t="s">
        <v>4178</v>
      </c>
      <c r="AD436" s="2"/>
      <c r="AE436" s="9">
        <v>46204</v>
      </c>
      <c r="AF436" s="23">
        <v>100</v>
      </c>
      <c r="AG436" s="6"/>
      <c r="AH436" s="5" t="s">
        <v>2832</v>
      </c>
      <c r="AI436" s="5" t="s">
        <v>1235</v>
      </c>
      <c r="AJ436" s="5" t="s">
        <v>2</v>
      </c>
      <c r="AK436" s="21" t="s">
        <v>2</v>
      </c>
      <c r="AL436" s="72" t="s">
        <v>3894</v>
      </c>
      <c r="AM436" s="54" t="s">
        <v>4179</v>
      </c>
      <c r="AN436" s="34" t="s">
        <v>1189</v>
      </c>
    </row>
    <row r="437" spans="2:40" x14ac:dyDescent="0.3">
      <c r="B437" s="18" t="s">
        <v>1713</v>
      </c>
      <c r="C437" s="47" t="s">
        <v>1236</v>
      </c>
      <c r="D437" s="15" t="s">
        <v>3965</v>
      </c>
      <c r="E437" s="68" t="s">
        <v>2</v>
      </c>
      <c r="F437" s="55" t="s">
        <v>2</v>
      </c>
      <c r="G437" s="40" t="s">
        <v>2745</v>
      </c>
      <c r="H437" s="71" t="s">
        <v>2745</v>
      </c>
      <c r="I437" s="67" t="s">
        <v>3660</v>
      </c>
      <c r="J437" s="73" t="s">
        <v>270</v>
      </c>
      <c r="K437" s="4">
        <v>9481475</v>
      </c>
      <c r="L437" s="41">
        <v>96.659000000000006</v>
      </c>
      <c r="M437" s="4">
        <v>9182605</v>
      </c>
      <c r="N437" s="4">
        <v>9500000</v>
      </c>
      <c r="O437" s="4">
        <v>9488225</v>
      </c>
      <c r="P437" s="4">
        <v>0</v>
      </c>
      <c r="Q437" s="4">
        <v>2520</v>
      </c>
      <c r="R437" s="4">
        <v>0</v>
      </c>
      <c r="S437" s="4">
        <v>0</v>
      </c>
      <c r="T437" s="23">
        <v>3.75</v>
      </c>
      <c r="U437" s="23">
        <v>3.782</v>
      </c>
      <c r="V437" s="5" t="s">
        <v>10</v>
      </c>
      <c r="W437" s="4">
        <v>95000</v>
      </c>
      <c r="X437" s="4">
        <v>356250</v>
      </c>
      <c r="Y437" s="14">
        <v>43910</v>
      </c>
      <c r="Z437" s="14">
        <v>46471</v>
      </c>
      <c r="AA437" s="2"/>
      <c r="AB437" s="69" t="s">
        <v>3892</v>
      </c>
      <c r="AC437" s="5" t="s">
        <v>4178</v>
      </c>
      <c r="AD437" s="2"/>
      <c r="AE437" s="9">
        <v>46412</v>
      </c>
      <c r="AF437" s="23">
        <v>100</v>
      </c>
      <c r="AG437" s="6"/>
      <c r="AH437" s="5" t="s">
        <v>84</v>
      </c>
      <c r="AI437" s="5" t="s">
        <v>1463</v>
      </c>
      <c r="AJ437" s="5" t="s">
        <v>1237</v>
      </c>
      <c r="AK437" s="21" t="s">
        <v>2</v>
      </c>
      <c r="AL437" s="72" t="s">
        <v>3894</v>
      </c>
      <c r="AM437" s="54" t="s">
        <v>4179</v>
      </c>
      <c r="AN437" s="34" t="s">
        <v>1170</v>
      </c>
    </row>
    <row r="438" spans="2:40" x14ac:dyDescent="0.3">
      <c r="B438" s="18" t="s">
        <v>3151</v>
      </c>
      <c r="C438" s="47" t="s">
        <v>1464</v>
      </c>
      <c r="D438" s="15" t="s">
        <v>85</v>
      </c>
      <c r="E438" s="68" t="s">
        <v>2</v>
      </c>
      <c r="F438" s="55" t="s">
        <v>2</v>
      </c>
      <c r="G438" s="40" t="s">
        <v>2745</v>
      </c>
      <c r="H438" s="71" t="s">
        <v>2745</v>
      </c>
      <c r="I438" s="67" t="s">
        <v>1414</v>
      </c>
      <c r="J438" s="73" t="s">
        <v>270</v>
      </c>
      <c r="K438" s="4">
        <v>4959900</v>
      </c>
      <c r="L438" s="41">
        <v>97.456999999999994</v>
      </c>
      <c r="M438" s="4">
        <v>4872850</v>
      </c>
      <c r="N438" s="4">
        <v>5000000</v>
      </c>
      <c r="O438" s="4">
        <v>4982108</v>
      </c>
      <c r="P438" s="4">
        <v>0</v>
      </c>
      <c r="Q438" s="4">
        <v>5688</v>
      </c>
      <c r="R438" s="4">
        <v>0</v>
      </c>
      <c r="S438" s="4">
        <v>0</v>
      </c>
      <c r="T438" s="23">
        <v>3.75</v>
      </c>
      <c r="U438" s="23">
        <v>3.8809999999999998</v>
      </c>
      <c r="V438" s="5" t="s">
        <v>3898</v>
      </c>
      <c r="W438" s="4">
        <v>15625</v>
      </c>
      <c r="X438" s="4">
        <v>187500</v>
      </c>
      <c r="Y438" s="14">
        <v>43417</v>
      </c>
      <c r="Z438" s="14">
        <v>45992</v>
      </c>
      <c r="AA438" s="2"/>
      <c r="AB438" s="69" t="s">
        <v>3892</v>
      </c>
      <c r="AC438" s="5" t="s">
        <v>4178</v>
      </c>
      <c r="AD438" s="2"/>
      <c r="AE438" s="14">
        <v>45901</v>
      </c>
      <c r="AF438" s="23">
        <v>100</v>
      </c>
      <c r="AG438" s="6"/>
      <c r="AH438" s="5" t="s">
        <v>2013</v>
      </c>
      <c r="AI438" s="5" t="s">
        <v>85</v>
      </c>
      <c r="AJ438" s="5" t="s">
        <v>2</v>
      </c>
      <c r="AK438" s="21" t="s">
        <v>2</v>
      </c>
      <c r="AL438" s="72" t="s">
        <v>3894</v>
      </c>
      <c r="AM438" s="54" t="s">
        <v>4179</v>
      </c>
      <c r="AN438" s="34" t="s">
        <v>512</v>
      </c>
    </row>
    <row r="439" spans="2:40" x14ac:dyDescent="0.3">
      <c r="B439" s="18" t="s">
        <v>4287</v>
      </c>
      <c r="C439" s="47" t="s">
        <v>1714</v>
      </c>
      <c r="D439" s="15" t="s">
        <v>85</v>
      </c>
      <c r="E439" s="68" t="s">
        <v>2</v>
      </c>
      <c r="F439" s="55" t="s">
        <v>2</v>
      </c>
      <c r="G439" s="40" t="s">
        <v>2745</v>
      </c>
      <c r="H439" s="71" t="s">
        <v>2745</v>
      </c>
      <c r="I439" s="67" t="s">
        <v>1414</v>
      </c>
      <c r="J439" s="73" t="s">
        <v>270</v>
      </c>
      <c r="K439" s="4">
        <v>17164946</v>
      </c>
      <c r="L439" s="41">
        <v>96.927999999999997</v>
      </c>
      <c r="M439" s="4">
        <v>16865472</v>
      </c>
      <c r="N439" s="4">
        <v>17400000</v>
      </c>
      <c r="O439" s="4">
        <v>17181391</v>
      </c>
      <c r="P439" s="4">
        <v>0</v>
      </c>
      <c r="Q439" s="4">
        <v>16445</v>
      </c>
      <c r="R439" s="4">
        <v>0</v>
      </c>
      <c r="S439" s="4">
        <v>0</v>
      </c>
      <c r="T439" s="23">
        <v>4.3499999999999996</v>
      </c>
      <c r="U439" s="23">
        <v>4.5759999999999996</v>
      </c>
      <c r="V439" s="5" t="s">
        <v>3898</v>
      </c>
      <c r="W439" s="4">
        <v>33640</v>
      </c>
      <c r="X439" s="4">
        <v>424705</v>
      </c>
      <c r="Y439" s="14">
        <v>44728</v>
      </c>
      <c r="Z439" s="14">
        <v>47284</v>
      </c>
      <c r="AA439" s="2"/>
      <c r="AB439" s="69" t="s">
        <v>3892</v>
      </c>
      <c r="AC439" s="5" t="s">
        <v>4178</v>
      </c>
      <c r="AD439" s="2"/>
      <c r="AE439" s="14">
        <v>47223</v>
      </c>
      <c r="AF439" s="23">
        <v>100</v>
      </c>
      <c r="AG439" s="10"/>
      <c r="AH439" s="5" t="s">
        <v>2013</v>
      </c>
      <c r="AI439" s="5" t="s">
        <v>85</v>
      </c>
      <c r="AJ439" s="5" t="s">
        <v>2</v>
      </c>
      <c r="AK439" s="21" t="s">
        <v>2</v>
      </c>
      <c r="AL439" s="72" t="s">
        <v>3894</v>
      </c>
      <c r="AM439" s="54" t="s">
        <v>4179</v>
      </c>
      <c r="AN439" s="34" t="s">
        <v>512</v>
      </c>
    </row>
    <row r="440" spans="2:40" x14ac:dyDescent="0.3">
      <c r="B440" s="18" t="s">
        <v>897</v>
      </c>
      <c r="C440" s="47" t="s">
        <v>2833</v>
      </c>
      <c r="D440" s="15" t="s">
        <v>1465</v>
      </c>
      <c r="E440" s="68" t="s">
        <v>2</v>
      </c>
      <c r="F440" s="55" t="s">
        <v>2</v>
      </c>
      <c r="G440" s="40" t="s">
        <v>2745</v>
      </c>
      <c r="H440" s="71" t="s">
        <v>2745</v>
      </c>
      <c r="I440" s="67" t="s">
        <v>1414</v>
      </c>
      <c r="J440" s="73" t="s">
        <v>270</v>
      </c>
      <c r="K440" s="4">
        <v>14892150</v>
      </c>
      <c r="L440" s="41">
        <v>95.637</v>
      </c>
      <c r="M440" s="4">
        <v>14345550</v>
      </c>
      <c r="N440" s="4">
        <v>15000000</v>
      </c>
      <c r="O440" s="4">
        <v>14895856</v>
      </c>
      <c r="P440" s="4">
        <v>0</v>
      </c>
      <c r="Q440" s="4">
        <v>3706</v>
      </c>
      <c r="R440" s="4">
        <v>0</v>
      </c>
      <c r="S440" s="4">
        <v>0</v>
      </c>
      <c r="T440" s="23">
        <v>4.4000000000000004</v>
      </c>
      <c r="U440" s="23">
        <v>4.49</v>
      </c>
      <c r="V440" s="5" t="s">
        <v>1916</v>
      </c>
      <c r="W440" s="4">
        <v>282333</v>
      </c>
      <c r="X440" s="4">
        <v>0</v>
      </c>
      <c r="Y440" s="14">
        <v>44762</v>
      </c>
      <c r="Z440" s="14">
        <v>48422</v>
      </c>
      <c r="AA440" s="2"/>
      <c r="AB440" s="69" t="s">
        <v>3892</v>
      </c>
      <c r="AC440" s="5" t="s">
        <v>4178</v>
      </c>
      <c r="AD440" s="2"/>
      <c r="AE440" s="14">
        <v>48331</v>
      </c>
      <c r="AF440" s="23">
        <v>100</v>
      </c>
      <c r="AG440" s="6"/>
      <c r="AH440" s="5" t="s">
        <v>3710</v>
      </c>
      <c r="AI440" s="5" t="s">
        <v>1715</v>
      </c>
      <c r="AJ440" s="5" t="s">
        <v>1715</v>
      </c>
      <c r="AK440" s="21" t="s">
        <v>2</v>
      </c>
      <c r="AL440" s="72" t="s">
        <v>3894</v>
      </c>
      <c r="AM440" s="54" t="s">
        <v>4179</v>
      </c>
      <c r="AN440" s="34" t="s">
        <v>512</v>
      </c>
    </row>
    <row r="441" spans="2:40" x14ac:dyDescent="0.3">
      <c r="B441" s="18" t="s">
        <v>2014</v>
      </c>
      <c r="C441" s="47" t="s">
        <v>3479</v>
      </c>
      <c r="D441" s="15" t="s">
        <v>3966</v>
      </c>
      <c r="E441" s="68" t="s">
        <v>2</v>
      </c>
      <c r="F441" s="55" t="s">
        <v>2</v>
      </c>
      <c r="G441" s="40" t="s">
        <v>2745</v>
      </c>
      <c r="H441" s="71" t="s">
        <v>3894</v>
      </c>
      <c r="I441" s="67" t="s">
        <v>1164</v>
      </c>
      <c r="J441" s="73" t="s">
        <v>270</v>
      </c>
      <c r="K441" s="4">
        <v>13188858</v>
      </c>
      <c r="L441" s="41">
        <v>83.894000000000005</v>
      </c>
      <c r="M441" s="4">
        <v>10906220</v>
      </c>
      <c r="N441" s="4">
        <v>13000000</v>
      </c>
      <c r="O441" s="4">
        <v>13141198</v>
      </c>
      <c r="P441" s="4">
        <v>0</v>
      </c>
      <c r="Q441" s="4">
        <v>-29389</v>
      </c>
      <c r="R441" s="4">
        <v>0</v>
      </c>
      <c r="S441" s="4">
        <v>0</v>
      </c>
      <c r="T441" s="23">
        <v>1.8320000000000001</v>
      </c>
      <c r="U441" s="23">
        <v>1.5860000000000001</v>
      </c>
      <c r="V441" s="5" t="s">
        <v>3895</v>
      </c>
      <c r="W441" s="4">
        <v>50278</v>
      </c>
      <c r="X441" s="4">
        <v>238160</v>
      </c>
      <c r="Y441" s="14">
        <v>44330</v>
      </c>
      <c r="Z441" s="14">
        <v>46675</v>
      </c>
      <c r="AA441" s="2"/>
      <c r="AB441" s="69" t="s">
        <v>3892</v>
      </c>
      <c r="AC441" s="5" t="s">
        <v>4178</v>
      </c>
      <c r="AD441" s="2"/>
      <c r="AE441" s="9">
        <v>46614</v>
      </c>
      <c r="AF441" s="23">
        <v>100</v>
      </c>
      <c r="AG441" s="9">
        <v>46614</v>
      </c>
      <c r="AH441" s="5" t="s">
        <v>2</v>
      </c>
      <c r="AI441" s="5" t="s">
        <v>571</v>
      </c>
      <c r="AJ441" s="5" t="s">
        <v>824</v>
      </c>
      <c r="AK441" s="21" t="s">
        <v>2</v>
      </c>
      <c r="AL441" s="72" t="s">
        <v>3894</v>
      </c>
      <c r="AM441" s="54" t="s">
        <v>4179</v>
      </c>
      <c r="AN441" s="34" t="s">
        <v>828</v>
      </c>
    </row>
    <row r="442" spans="2:40" x14ac:dyDescent="0.3">
      <c r="B442" s="18" t="s">
        <v>3152</v>
      </c>
      <c r="C442" s="47" t="s">
        <v>4288</v>
      </c>
      <c r="D442" s="15" t="s">
        <v>2015</v>
      </c>
      <c r="E442" s="68" t="s">
        <v>2</v>
      </c>
      <c r="F442" s="55" t="s">
        <v>2</v>
      </c>
      <c r="G442" s="40" t="s">
        <v>2745</v>
      </c>
      <c r="H442" s="71" t="s">
        <v>3894</v>
      </c>
      <c r="I442" s="67" t="s">
        <v>1164</v>
      </c>
      <c r="J442" s="73" t="s">
        <v>270</v>
      </c>
      <c r="K442" s="4">
        <v>5576700</v>
      </c>
      <c r="L442" s="41">
        <v>93.338999999999999</v>
      </c>
      <c r="M442" s="4">
        <v>4666950</v>
      </c>
      <c r="N442" s="4">
        <v>5000000</v>
      </c>
      <c r="O442" s="4">
        <v>5393882</v>
      </c>
      <c r="P442" s="4">
        <v>0</v>
      </c>
      <c r="Q442" s="4">
        <v>-77279</v>
      </c>
      <c r="R442" s="4">
        <v>0</v>
      </c>
      <c r="S442" s="4">
        <v>0</v>
      </c>
      <c r="T442" s="23">
        <v>3.95</v>
      </c>
      <c r="U442" s="23">
        <v>2.2050000000000001</v>
      </c>
      <c r="V442" s="5" t="s">
        <v>1916</v>
      </c>
      <c r="W442" s="4">
        <v>92715</v>
      </c>
      <c r="X442" s="4">
        <v>197500</v>
      </c>
      <c r="Y442" s="14">
        <v>44047</v>
      </c>
      <c r="Z442" s="14">
        <v>46764</v>
      </c>
      <c r="AA442" s="2"/>
      <c r="AB442" s="69" t="s">
        <v>3892</v>
      </c>
      <c r="AC442" s="5" t="s">
        <v>4178</v>
      </c>
      <c r="AD442" s="2"/>
      <c r="AE442" s="9">
        <v>46672</v>
      </c>
      <c r="AF442" s="23">
        <v>100</v>
      </c>
      <c r="AG442" s="9">
        <v>46672</v>
      </c>
      <c r="AH442" s="5" t="s">
        <v>1716</v>
      </c>
      <c r="AI442" s="5" t="s">
        <v>2015</v>
      </c>
      <c r="AJ442" s="5" t="s">
        <v>2</v>
      </c>
      <c r="AK442" s="21" t="s">
        <v>2</v>
      </c>
      <c r="AL442" s="72" t="s">
        <v>3894</v>
      </c>
      <c r="AM442" s="54" t="s">
        <v>4179</v>
      </c>
      <c r="AN442" s="34" t="s">
        <v>828</v>
      </c>
    </row>
    <row r="443" spans="2:40" x14ac:dyDescent="0.3">
      <c r="B443" s="18" t="s">
        <v>4289</v>
      </c>
      <c r="C443" s="47" t="s">
        <v>898</v>
      </c>
      <c r="D443" s="15" t="s">
        <v>2015</v>
      </c>
      <c r="E443" s="68" t="s">
        <v>2</v>
      </c>
      <c r="F443" s="55" t="s">
        <v>2</v>
      </c>
      <c r="G443" s="40" t="s">
        <v>2745</v>
      </c>
      <c r="H443" s="71" t="s">
        <v>3894</v>
      </c>
      <c r="I443" s="67" t="s">
        <v>1164</v>
      </c>
      <c r="J443" s="73" t="s">
        <v>270</v>
      </c>
      <c r="K443" s="4">
        <v>4979100</v>
      </c>
      <c r="L443" s="41">
        <v>94.781999999999996</v>
      </c>
      <c r="M443" s="4">
        <v>4739100</v>
      </c>
      <c r="N443" s="4">
        <v>5000000</v>
      </c>
      <c r="O443" s="4">
        <v>4981653</v>
      </c>
      <c r="P443" s="4">
        <v>0</v>
      </c>
      <c r="Q443" s="4">
        <v>2553</v>
      </c>
      <c r="R443" s="4">
        <v>0</v>
      </c>
      <c r="S443" s="4">
        <v>0</v>
      </c>
      <c r="T443" s="23">
        <v>4.25</v>
      </c>
      <c r="U443" s="23">
        <v>4.343</v>
      </c>
      <c r="V443" s="5" t="s">
        <v>3409</v>
      </c>
      <c r="W443" s="4">
        <v>27153</v>
      </c>
      <c r="X443" s="4">
        <v>112743</v>
      </c>
      <c r="Y443" s="14">
        <v>44671</v>
      </c>
      <c r="Z443" s="14">
        <v>46522</v>
      </c>
      <c r="AA443" s="2"/>
      <c r="AB443" s="69" t="s">
        <v>3892</v>
      </c>
      <c r="AC443" s="5" t="s">
        <v>4178</v>
      </c>
      <c r="AD443" s="2"/>
      <c r="AE443" s="9">
        <v>46492</v>
      </c>
      <c r="AF443" s="23">
        <v>100</v>
      </c>
      <c r="AG443" s="6"/>
      <c r="AH443" s="5" t="s">
        <v>1716</v>
      </c>
      <c r="AI443" s="5" t="s">
        <v>2015</v>
      </c>
      <c r="AJ443" s="5" t="s">
        <v>2</v>
      </c>
      <c r="AK443" s="21" t="s">
        <v>2</v>
      </c>
      <c r="AL443" s="72" t="s">
        <v>3894</v>
      </c>
      <c r="AM443" s="54" t="s">
        <v>4179</v>
      </c>
      <c r="AN443" s="34" t="s">
        <v>828</v>
      </c>
    </row>
    <row r="444" spans="2:40" x14ac:dyDescent="0.3">
      <c r="B444" s="18" t="s">
        <v>899</v>
      </c>
      <c r="C444" s="47" t="s">
        <v>1466</v>
      </c>
      <c r="D444" s="15" t="s">
        <v>572</v>
      </c>
      <c r="E444" s="68" t="s">
        <v>2</v>
      </c>
      <c r="F444" s="55" t="s">
        <v>2</v>
      </c>
      <c r="G444" s="40" t="s">
        <v>2745</v>
      </c>
      <c r="H444" s="71" t="s">
        <v>2745</v>
      </c>
      <c r="I444" s="67" t="s">
        <v>3660</v>
      </c>
      <c r="J444" s="73" t="s">
        <v>270</v>
      </c>
      <c r="K444" s="4">
        <v>15104880</v>
      </c>
      <c r="L444" s="41">
        <v>94.168999999999997</v>
      </c>
      <c r="M444" s="4">
        <v>14125350</v>
      </c>
      <c r="N444" s="4">
        <v>15000000</v>
      </c>
      <c r="O444" s="4">
        <v>15041511</v>
      </c>
      <c r="P444" s="4">
        <v>0</v>
      </c>
      <c r="Q444" s="4">
        <v>-22559</v>
      </c>
      <c r="R444" s="4">
        <v>0</v>
      </c>
      <c r="S444" s="4">
        <v>0</v>
      </c>
      <c r="T444" s="23">
        <v>2.3010000000000002</v>
      </c>
      <c r="U444" s="23">
        <v>2.1419999999999999</v>
      </c>
      <c r="V444" s="5" t="s">
        <v>3895</v>
      </c>
      <c r="W444" s="4">
        <v>72865</v>
      </c>
      <c r="X444" s="4">
        <v>345150</v>
      </c>
      <c r="Y444" s="14">
        <v>43873</v>
      </c>
      <c r="Z444" s="14">
        <v>45945</v>
      </c>
      <c r="AA444" s="2"/>
      <c r="AB444" s="69" t="s">
        <v>3892</v>
      </c>
      <c r="AC444" s="5" t="s">
        <v>4178</v>
      </c>
      <c r="AD444" s="2"/>
      <c r="AE444" s="9">
        <v>45580</v>
      </c>
      <c r="AF444" s="23">
        <v>100</v>
      </c>
      <c r="AG444" s="9">
        <v>45580</v>
      </c>
      <c r="AH444" s="5" t="s">
        <v>3967</v>
      </c>
      <c r="AI444" s="5" t="s">
        <v>572</v>
      </c>
      <c r="AJ444" s="5" t="s">
        <v>2</v>
      </c>
      <c r="AK444" s="21" t="s">
        <v>2</v>
      </c>
      <c r="AL444" s="72" t="s">
        <v>3894</v>
      </c>
      <c r="AM444" s="54" t="s">
        <v>4179</v>
      </c>
      <c r="AN444" s="34" t="s">
        <v>1170</v>
      </c>
    </row>
    <row r="445" spans="2:40" x14ac:dyDescent="0.3">
      <c r="B445" s="18" t="s">
        <v>2016</v>
      </c>
      <c r="C445" s="47" t="s">
        <v>1467</v>
      </c>
      <c r="D445" s="15" t="s">
        <v>572</v>
      </c>
      <c r="E445" s="68" t="s">
        <v>2</v>
      </c>
      <c r="F445" s="55" t="s">
        <v>2</v>
      </c>
      <c r="G445" s="40" t="s">
        <v>2745</v>
      </c>
      <c r="H445" s="71" t="s">
        <v>2745</v>
      </c>
      <c r="I445" s="67" t="s">
        <v>287</v>
      </c>
      <c r="J445" s="73" t="s">
        <v>270</v>
      </c>
      <c r="K445" s="4">
        <v>4000000</v>
      </c>
      <c r="L445" s="41">
        <v>88.144000000000005</v>
      </c>
      <c r="M445" s="4">
        <v>3525760</v>
      </c>
      <c r="N445" s="4">
        <v>4000000</v>
      </c>
      <c r="O445" s="4">
        <v>3999920</v>
      </c>
      <c r="P445" s="4">
        <v>0</v>
      </c>
      <c r="Q445" s="4">
        <v>-37</v>
      </c>
      <c r="R445" s="4">
        <v>0</v>
      </c>
      <c r="S445" s="4">
        <v>0</v>
      </c>
      <c r="T445" s="23">
        <v>1.0449999999999999</v>
      </c>
      <c r="U445" s="23">
        <v>1.044</v>
      </c>
      <c r="V445" s="5" t="s">
        <v>3409</v>
      </c>
      <c r="W445" s="4">
        <v>4877</v>
      </c>
      <c r="X445" s="4">
        <v>41800</v>
      </c>
      <c r="Y445" s="14">
        <v>44147</v>
      </c>
      <c r="Z445" s="14">
        <v>46345</v>
      </c>
      <c r="AA445" s="2"/>
      <c r="AB445" s="69" t="s">
        <v>3892</v>
      </c>
      <c r="AC445" s="5" t="s">
        <v>4178</v>
      </c>
      <c r="AD445" s="2"/>
      <c r="AE445" s="14">
        <v>45980</v>
      </c>
      <c r="AF445" s="23">
        <v>100</v>
      </c>
      <c r="AG445" s="6"/>
      <c r="AH445" s="5" t="s">
        <v>3967</v>
      </c>
      <c r="AI445" s="5" t="s">
        <v>572</v>
      </c>
      <c r="AJ445" s="5" t="s">
        <v>2</v>
      </c>
      <c r="AK445" s="21" t="s">
        <v>2</v>
      </c>
      <c r="AL445" s="72" t="s">
        <v>3894</v>
      </c>
      <c r="AM445" s="54" t="s">
        <v>4179</v>
      </c>
      <c r="AN445" s="34" t="s">
        <v>819</v>
      </c>
    </row>
    <row r="446" spans="2:40" x14ac:dyDescent="0.3">
      <c r="B446" s="18" t="s">
        <v>3968</v>
      </c>
      <c r="C446" s="47" t="s">
        <v>2364</v>
      </c>
      <c r="D446" s="15" t="s">
        <v>572</v>
      </c>
      <c r="E446" s="68" t="s">
        <v>2</v>
      </c>
      <c r="F446" s="55" t="s">
        <v>2</v>
      </c>
      <c r="G446" s="40" t="s">
        <v>2745</v>
      </c>
      <c r="H446" s="71" t="s">
        <v>2745</v>
      </c>
      <c r="I446" s="67" t="s">
        <v>3660</v>
      </c>
      <c r="J446" s="73" t="s">
        <v>270</v>
      </c>
      <c r="K446" s="4">
        <v>5000000</v>
      </c>
      <c r="L446" s="41">
        <v>83.635000000000005</v>
      </c>
      <c r="M446" s="4">
        <v>4181750</v>
      </c>
      <c r="N446" s="4">
        <v>5000000</v>
      </c>
      <c r="O446" s="4">
        <v>4999838</v>
      </c>
      <c r="P446" s="4">
        <v>0</v>
      </c>
      <c r="Q446" s="4">
        <v>-103</v>
      </c>
      <c r="R446" s="4">
        <v>0</v>
      </c>
      <c r="S446" s="4">
        <v>0</v>
      </c>
      <c r="T446" s="23">
        <v>2.069</v>
      </c>
      <c r="U446" s="23">
        <v>2.0670000000000002</v>
      </c>
      <c r="V446" s="5" t="s">
        <v>3898</v>
      </c>
      <c r="W446" s="4">
        <v>8621</v>
      </c>
      <c r="X446" s="4">
        <v>103450</v>
      </c>
      <c r="Y446" s="14">
        <v>44340</v>
      </c>
      <c r="Z446" s="14">
        <v>47270</v>
      </c>
      <c r="AA446" s="2"/>
      <c r="AB446" s="69" t="s">
        <v>3892</v>
      </c>
      <c r="AC446" s="5" t="s">
        <v>4178</v>
      </c>
      <c r="AD446" s="2"/>
      <c r="AE446" s="14">
        <v>46905</v>
      </c>
      <c r="AF446" s="23">
        <v>100</v>
      </c>
      <c r="AG446" s="6"/>
      <c r="AH446" s="5" t="s">
        <v>3967</v>
      </c>
      <c r="AI446" s="5" t="s">
        <v>572</v>
      </c>
      <c r="AJ446" s="5" t="s">
        <v>2</v>
      </c>
      <c r="AK446" s="21" t="s">
        <v>2</v>
      </c>
      <c r="AL446" s="72" t="s">
        <v>3894</v>
      </c>
      <c r="AM446" s="54" t="s">
        <v>4179</v>
      </c>
      <c r="AN446" s="34" t="s">
        <v>1170</v>
      </c>
    </row>
    <row r="447" spans="2:40" x14ac:dyDescent="0.3">
      <c r="B447" s="18" t="s">
        <v>900</v>
      </c>
      <c r="C447" s="47" t="s">
        <v>1717</v>
      </c>
      <c r="D447" s="15" t="s">
        <v>572</v>
      </c>
      <c r="E447" s="68" t="s">
        <v>2</v>
      </c>
      <c r="F447" s="55" t="s">
        <v>2</v>
      </c>
      <c r="G447" s="40" t="s">
        <v>2745</v>
      </c>
      <c r="H447" s="71" t="s">
        <v>2745</v>
      </c>
      <c r="I447" s="67" t="s">
        <v>3660</v>
      </c>
      <c r="J447" s="73" t="s">
        <v>270</v>
      </c>
      <c r="K447" s="4">
        <v>5000000</v>
      </c>
      <c r="L447" s="41">
        <v>95.486000000000004</v>
      </c>
      <c r="M447" s="4">
        <v>4774300</v>
      </c>
      <c r="N447" s="4">
        <v>5000000</v>
      </c>
      <c r="O447" s="4">
        <v>5000000</v>
      </c>
      <c r="P447" s="4">
        <v>0</v>
      </c>
      <c r="Q447" s="4">
        <v>0</v>
      </c>
      <c r="R447" s="4">
        <v>0</v>
      </c>
      <c r="S447" s="4">
        <v>0</v>
      </c>
      <c r="T447" s="23">
        <v>4.3230000000000004</v>
      </c>
      <c r="U447" s="23">
        <v>3.9529999999999998</v>
      </c>
      <c r="V447" s="5" t="s">
        <v>3895</v>
      </c>
      <c r="W447" s="4">
        <v>39027</v>
      </c>
      <c r="X447" s="4">
        <v>108075</v>
      </c>
      <c r="Y447" s="14">
        <v>44670</v>
      </c>
      <c r="Z447" s="14">
        <v>46869</v>
      </c>
      <c r="AA447" s="2"/>
      <c r="AB447" s="69" t="s">
        <v>3892</v>
      </c>
      <c r="AC447" s="5" t="s">
        <v>4178</v>
      </c>
      <c r="AD447" s="2"/>
      <c r="AE447" s="14">
        <v>46503</v>
      </c>
      <c r="AF447" s="23">
        <v>100</v>
      </c>
      <c r="AG447" s="6"/>
      <c r="AH447" s="5" t="s">
        <v>3967</v>
      </c>
      <c r="AI447" s="5" t="s">
        <v>572</v>
      </c>
      <c r="AJ447" s="5" t="s">
        <v>2</v>
      </c>
      <c r="AK447" s="21" t="s">
        <v>2</v>
      </c>
      <c r="AL447" s="72" t="s">
        <v>3894</v>
      </c>
      <c r="AM447" s="54" t="s">
        <v>4179</v>
      </c>
      <c r="AN447" s="34" t="s">
        <v>1170</v>
      </c>
    </row>
    <row r="448" spans="2:40" x14ac:dyDescent="0.3">
      <c r="B448" s="18" t="s">
        <v>2017</v>
      </c>
      <c r="C448" s="47" t="s">
        <v>901</v>
      </c>
      <c r="D448" s="15" t="s">
        <v>572</v>
      </c>
      <c r="E448" s="68" t="s">
        <v>2</v>
      </c>
      <c r="F448" s="55" t="s">
        <v>2</v>
      </c>
      <c r="G448" s="40" t="s">
        <v>2745</v>
      </c>
      <c r="H448" s="71" t="s">
        <v>2745</v>
      </c>
      <c r="I448" s="67" t="s">
        <v>3660</v>
      </c>
      <c r="J448" s="73" t="s">
        <v>270</v>
      </c>
      <c r="K448" s="4">
        <v>5000000</v>
      </c>
      <c r="L448" s="41">
        <v>95.471000000000004</v>
      </c>
      <c r="M448" s="4">
        <v>4773550</v>
      </c>
      <c r="N448" s="4">
        <v>5000000</v>
      </c>
      <c r="O448" s="4">
        <v>5000000</v>
      </c>
      <c r="P448" s="4">
        <v>0</v>
      </c>
      <c r="Q448" s="4">
        <v>0</v>
      </c>
      <c r="R448" s="4">
        <v>0</v>
      </c>
      <c r="S448" s="4">
        <v>0</v>
      </c>
      <c r="T448" s="23">
        <v>4.9119999999999999</v>
      </c>
      <c r="U448" s="23">
        <v>4.8230000000000004</v>
      </c>
      <c r="V448" s="5" t="s">
        <v>1916</v>
      </c>
      <c r="W448" s="4">
        <v>106427</v>
      </c>
      <c r="X448" s="4">
        <v>0</v>
      </c>
      <c r="Y448" s="14">
        <v>44760</v>
      </c>
      <c r="Z448" s="14">
        <v>48785</v>
      </c>
      <c r="AA448" s="2"/>
      <c r="AB448" s="69" t="s">
        <v>3892</v>
      </c>
      <c r="AC448" s="5" t="s">
        <v>4178</v>
      </c>
      <c r="AD448" s="2"/>
      <c r="AE448" s="14">
        <v>48420</v>
      </c>
      <c r="AF448" s="23">
        <v>100</v>
      </c>
      <c r="AG448" s="6"/>
      <c r="AH448" s="5" t="s">
        <v>3967</v>
      </c>
      <c r="AI448" s="5" t="s">
        <v>572</v>
      </c>
      <c r="AJ448" s="5" t="s">
        <v>2</v>
      </c>
      <c r="AK448" s="21" t="s">
        <v>2</v>
      </c>
      <c r="AL448" s="72" t="s">
        <v>3894</v>
      </c>
      <c r="AM448" s="54" t="s">
        <v>4179</v>
      </c>
      <c r="AN448" s="34" t="s">
        <v>1170</v>
      </c>
    </row>
    <row r="449" spans="2:40" x14ac:dyDescent="0.3">
      <c r="B449" s="18" t="s">
        <v>3153</v>
      </c>
      <c r="C449" s="47" t="s">
        <v>3154</v>
      </c>
      <c r="D449" s="15" t="s">
        <v>2018</v>
      </c>
      <c r="E449" s="68" t="s">
        <v>2</v>
      </c>
      <c r="F449" s="55" t="s">
        <v>2</v>
      </c>
      <c r="G449" s="40" t="s">
        <v>2745</v>
      </c>
      <c r="H449" s="71" t="s">
        <v>3894</v>
      </c>
      <c r="I449" s="67" t="s">
        <v>3408</v>
      </c>
      <c r="J449" s="73" t="s">
        <v>270</v>
      </c>
      <c r="K449" s="4">
        <v>5073550</v>
      </c>
      <c r="L449" s="41">
        <v>96.64</v>
      </c>
      <c r="M449" s="4">
        <v>4832000</v>
      </c>
      <c r="N449" s="4">
        <v>5000000</v>
      </c>
      <c r="O449" s="4">
        <v>5033286</v>
      </c>
      <c r="P449" s="4">
        <v>0</v>
      </c>
      <c r="Q449" s="4">
        <v>-10960</v>
      </c>
      <c r="R449" s="4">
        <v>0</v>
      </c>
      <c r="S449" s="4">
        <v>0</v>
      </c>
      <c r="T449" s="23">
        <v>4.3</v>
      </c>
      <c r="U449" s="23">
        <v>4.0469999999999997</v>
      </c>
      <c r="V449" s="5" t="s">
        <v>1916</v>
      </c>
      <c r="W449" s="4">
        <v>99139</v>
      </c>
      <c r="X449" s="4">
        <v>215000</v>
      </c>
      <c r="Y449" s="14">
        <v>43501</v>
      </c>
      <c r="Z449" s="14">
        <v>46037</v>
      </c>
      <c r="AA449" s="2"/>
      <c r="AB449" s="69" t="s">
        <v>3892</v>
      </c>
      <c r="AC449" s="5" t="s">
        <v>4178</v>
      </c>
      <c r="AD449" s="2"/>
      <c r="AE449" s="9">
        <v>45945</v>
      </c>
      <c r="AF449" s="23">
        <v>100</v>
      </c>
      <c r="AG449" s="9">
        <v>45945</v>
      </c>
      <c r="AH449" s="5" t="s">
        <v>1238</v>
      </c>
      <c r="AI449" s="5" t="s">
        <v>336</v>
      </c>
      <c r="AJ449" s="5" t="s">
        <v>824</v>
      </c>
      <c r="AK449" s="21" t="s">
        <v>2</v>
      </c>
      <c r="AL449" s="72" t="s">
        <v>3894</v>
      </c>
      <c r="AM449" s="54" t="s">
        <v>4179</v>
      </c>
      <c r="AN449" s="34" t="s">
        <v>1650</v>
      </c>
    </row>
    <row r="450" spans="2:40" x14ac:dyDescent="0.3">
      <c r="B450" s="18" t="s">
        <v>4290</v>
      </c>
      <c r="C450" s="47" t="s">
        <v>4291</v>
      </c>
      <c r="D450" s="15" t="s">
        <v>902</v>
      </c>
      <c r="E450" s="68" t="s">
        <v>2</v>
      </c>
      <c r="F450" s="55" t="s">
        <v>2</v>
      </c>
      <c r="G450" s="40" t="s">
        <v>2</v>
      </c>
      <c r="H450" s="71" t="s">
        <v>3894</v>
      </c>
      <c r="I450" s="67" t="s">
        <v>8</v>
      </c>
      <c r="J450" s="73" t="s">
        <v>2312</v>
      </c>
      <c r="K450" s="4">
        <v>8000000</v>
      </c>
      <c r="L450" s="41">
        <v>85.519000000000005</v>
      </c>
      <c r="M450" s="4">
        <v>6841520</v>
      </c>
      <c r="N450" s="4">
        <v>8000000</v>
      </c>
      <c r="O450" s="4">
        <v>8000000</v>
      </c>
      <c r="P450" s="4">
        <v>0</v>
      </c>
      <c r="Q450" s="4">
        <v>0</v>
      </c>
      <c r="R450" s="4">
        <v>0</v>
      </c>
      <c r="S450" s="4">
        <v>0</v>
      </c>
      <c r="T450" s="23">
        <v>2.2999999999999998</v>
      </c>
      <c r="U450" s="23">
        <v>2.2999999999999998</v>
      </c>
      <c r="V450" s="5" t="s">
        <v>3409</v>
      </c>
      <c r="W450" s="4">
        <v>21978</v>
      </c>
      <c r="X450" s="4">
        <v>184000</v>
      </c>
      <c r="Y450" s="14">
        <v>44153</v>
      </c>
      <c r="Z450" s="14">
        <v>46709</v>
      </c>
      <c r="AA450" s="2"/>
      <c r="AB450" s="69" t="s">
        <v>2783</v>
      </c>
      <c r="AC450" s="5" t="s">
        <v>2</v>
      </c>
      <c r="AD450" s="2"/>
      <c r="AE450" s="6"/>
      <c r="AF450" s="23"/>
      <c r="AG450" s="6"/>
      <c r="AH450" s="5" t="s">
        <v>573</v>
      </c>
      <c r="AI450" s="5" t="s">
        <v>902</v>
      </c>
      <c r="AJ450" s="5" t="s">
        <v>2</v>
      </c>
      <c r="AK450" s="21" t="s">
        <v>2</v>
      </c>
      <c r="AL450" s="72" t="s">
        <v>3894</v>
      </c>
      <c r="AM450" s="54" t="s">
        <v>4179</v>
      </c>
      <c r="AN450" s="34" t="s">
        <v>3085</v>
      </c>
    </row>
    <row r="451" spans="2:40" x14ac:dyDescent="0.3">
      <c r="B451" s="18" t="s">
        <v>903</v>
      </c>
      <c r="C451" s="47" t="s">
        <v>904</v>
      </c>
      <c r="D451" s="15" t="s">
        <v>902</v>
      </c>
      <c r="E451" s="68" t="s">
        <v>2</v>
      </c>
      <c r="F451" s="55" t="s">
        <v>2</v>
      </c>
      <c r="G451" s="40" t="s">
        <v>2</v>
      </c>
      <c r="H451" s="71" t="s">
        <v>3894</v>
      </c>
      <c r="I451" s="67" t="s">
        <v>8</v>
      </c>
      <c r="J451" s="73" t="s">
        <v>2312</v>
      </c>
      <c r="K451" s="4">
        <v>4000000</v>
      </c>
      <c r="L451" s="41">
        <v>76.356999999999999</v>
      </c>
      <c r="M451" s="4">
        <v>3054280</v>
      </c>
      <c r="N451" s="4">
        <v>4000000</v>
      </c>
      <c r="O451" s="4">
        <v>4000000</v>
      </c>
      <c r="P451" s="4">
        <v>0</v>
      </c>
      <c r="Q451" s="4">
        <v>0</v>
      </c>
      <c r="R451" s="4">
        <v>0</v>
      </c>
      <c r="S451" s="4">
        <v>0</v>
      </c>
      <c r="T451" s="23">
        <v>2.68</v>
      </c>
      <c r="U451" s="23">
        <v>2.68</v>
      </c>
      <c r="V451" s="5" t="s">
        <v>3895</v>
      </c>
      <c r="W451" s="4">
        <v>22929</v>
      </c>
      <c r="X451" s="4">
        <v>107200</v>
      </c>
      <c r="Y451" s="14">
        <v>44483</v>
      </c>
      <c r="Z451" s="14">
        <v>48135</v>
      </c>
      <c r="AA451" s="2"/>
      <c r="AB451" s="69" t="s">
        <v>2783</v>
      </c>
      <c r="AC451" s="5" t="s">
        <v>2</v>
      </c>
      <c r="AD451" s="2"/>
      <c r="AE451" s="10"/>
      <c r="AF451" s="23"/>
      <c r="AG451" s="10"/>
      <c r="AH451" s="5" t="s">
        <v>573</v>
      </c>
      <c r="AI451" s="5" t="s">
        <v>902</v>
      </c>
      <c r="AJ451" s="5" t="s">
        <v>2</v>
      </c>
      <c r="AK451" s="21" t="s">
        <v>2</v>
      </c>
      <c r="AL451" s="72" t="s">
        <v>3894</v>
      </c>
      <c r="AM451" s="54" t="s">
        <v>4179</v>
      </c>
      <c r="AN451" s="34" t="s">
        <v>3085</v>
      </c>
    </row>
    <row r="452" spans="2:40" x14ac:dyDescent="0.3">
      <c r="B452" s="18" t="s">
        <v>2019</v>
      </c>
      <c r="C452" s="47" t="s">
        <v>3480</v>
      </c>
      <c r="D452" s="15" t="s">
        <v>1468</v>
      </c>
      <c r="E452" s="68" t="s">
        <v>2</v>
      </c>
      <c r="F452" s="55" t="s">
        <v>2</v>
      </c>
      <c r="G452" s="40" t="s">
        <v>2745</v>
      </c>
      <c r="H452" s="71" t="s">
        <v>825</v>
      </c>
      <c r="I452" s="67" t="s">
        <v>1164</v>
      </c>
      <c r="J452" s="73" t="s">
        <v>270</v>
      </c>
      <c r="K452" s="4">
        <v>4110000</v>
      </c>
      <c r="L452" s="41">
        <v>87.537999999999997</v>
      </c>
      <c r="M452" s="4">
        <v>3501520</v>
      </c>
      <c r="N452" s="4">
        <v>4000000</v>
      </c>
      <c r="O452" s="4">
        <v>3501520</v>
      </c>
      <c r="P452" s="4">
        <v>-558881</v>
      </c>
      <c r="Q452" s="4">
        <v>-26439</v>
      </c>
      <c r="R452" s="4">
        <v>0</v>
      </c>
      <c r="S452" s="4">
        <v>0</v>
      </c>
      <c r="T452" s="23">
        <v>4.75</v>
      </c>
      <c r="U452" s="23">
        <v>3.99</v>
      </c>
      <c r="V452" s="5" t="s">
        <v>10</v>
      </c>
      <c r="W452" s="4">
        <v>48028</v>
      </c>
      <c r="X452" s="4">
        <v>190000</v>
      </c>
      <c r="Y452" s="14">
        <v>44483</v>
      </c>
      <c r="Z452" s="14">
        <v>47026</v>
      </c>
      <c r="AA452" s="2"/>
      <c r="AB452" s="69" t="s">
        <v>3892</v>
      </c>
      <c r="AC452" s="5" t="s">
        <v>4178</v>
      </c>
      <c r="AD452" s="2"/>
      <c r="AE452" s="14">
        <v>45930</v>
      </c>
      <c r="AF452" s="23">
        <v>100</v>
      </c>
      <c r="AG452" s="9">
        <v>45930</v>
      </c>
      <c r="AH452" s="5" t="s">
        <v>1239</v>
      </c>
      <c r="AI452" s="5" t="s">
        <v>2365</v>
      </c>
      <c r="AJ452" s="5" t="s">
        <v>824</v>
      </c>
      <c r="AK452" s="21" t="s">
        <v>2</v>
      </c>
      <c r="AL452" s="72" t="s">
        <v>3894</v>
      </c>
      <c r="AM452" s="54" t="s">
        <v>4179</v>
      </c>
      <c r="AN452" s="34" t="s">
        <v>302</v>
      </c>
    </row>
    <row r="453" spans="2:40" x14ac:dyDescent="0.3">
      <c r="B453" s="18" t="s">
        <v>3155</v>
      </c>
      <c r="C453" s="47" t="s">
        <v>2366</v>
      </c>
      <c r="D453" s="15" t="s">
        <v>4263</v>
      </c>
      <c r="E453" s="68" t="s">
        <v>2</v>
      </c>
      <c r="F453" s="55" t="s">
        <v>2</v>
      </c>
      <c r="G453" s="40" t="s">
        <v>2745</v>
      </c>
      <c r="H453" s="71" t="s">
        <v>3894</v>
      </c>
      <c r="I453" s="67" t="s">
        <v>8</v>
      </c>
      <c r="J453" s="73" t="s">
        <v>270</v>
      </c>
      <c r="K453" s="4">
        <v>4990650</v>
      </c>
      <c r="L453" s="41">
        <v>93.093000000000004</v>
      </c>
      <c r="M453" s="4">
        <v>4654650</v>
      </c>
      <c r="N453" s="4">
        <v>5000000</v>
      </c>
      <c r="O453" s="4">
        <v>4991435</v>
      </c>
      <c r="P453" s="4">
        <v>0</v>
      </c>
      <c r="Q453" s="4">
        <v>785</v>
      </c>
      <c r="R453" s="4">
        <v>0</v>
      </c>
      <c r="S453" s="4">
        <v>0</v>
      </c>
      <c r="T453" s="23">
        <v>3.95</v>
      </c>
      <c r="U453" s="23">
        <v>3.9809999999999999</v>
      </c>
      <c r="V453" s="5" t="s">
        <v>3895</v>
      </c>
      <c r="W453" s="4">
        <v>41694</v>
      </c>
      <c r="X453" s="4">
        <v>94910</v>
      </c>
      <c r="Y453" s="14">
        <v>44658</v>
      </c>
      <c r="Z453" s="14">
        <v>47223</v>
      </c>
      <c r="AA453" s="2"/>
      <c r="AB453" s="69" t="s">
        <v>3892</v>
      </c>
      <c r="AC453" s="5" t="s">
        <v>4178</v>
      </c>
      <c r="AD453" s="2"/>
      <c r="AE453" s="14">
        <v>47164</v>
      </c>
      <c r="AF453" s="23">
        <v>100</v>
      </c>
      <c r="AG453" s="6"/>
      <c r="AH453" s="5" t="s">
        <v>2</v>
      </c>
      <c r="AI453" s="5" t="s">
        <v>4263</v>
      </c>
      <c r="AJ453" s="5" t="s">
        <v>2</v>
      </c>
      <c r="AK453" s="21" t="s">
        <v>2</v>
      </c>
      <c r="AL453" s="72" t="s">
        <v>3894</v>
      </c>
      <c r="AM453" s="54" t="s">
        <v>4179</v>
      </c>
      <c r="AN453" s="34" t="s">
        <v>1189</v>
      </c>
    </row>
    <row r="454" spans="2:40" x14ac:dyDescent="0.3">
      <c r="B454" s="18" t="s">
        <v>4292</v>
      </c>
      <c r="C454" s="47" t="s">
        <v>2834</v>
      </c>
      <c r="D454" s="15" t="s">
        <v>1718</v>
      </c>
      <c r="E454" s="68" t="s">
        <v>2</v>
      </c>
      <c r="F454" s="55" t="s">
        <v>2</v>
      </c>
      <c r="G454" s="40" t="s">
        <v>2</v>
      </c>
      <c r="H454" s="71" t="s">
        <v>3894</v>
      </c>
      <c r="I454" s="67" t="s">
        <v>3408</v>
      </c>
      <c r="J454" s="73" t="s">
        <v>270</v>
      </c>
      <c r="K454" s="4">
        <v>10205600</v>
      </c>
      <c r="L454" s="41">
        <v>89.067999999999998</v>
      </c>
      <c r="M454" s="4">
        <v>8906800</v>
      </c>
      <c r="N454" s="4">
        <v>10000000</v>
      </c>
      <c r="O454" s="4">
        <v>10131596</v>
      </c>
      <c r="P454" s="4">
        <v>0</v>
      </c>
      <c r="Q454" s="4">
        <v>-29340</v>
      </c>
      <c r="R454" s="4">
        <v>0</v>
      </c>
      <c r="S454" s="4">
        <v>0</v>
      </c>
      <c r="T454" s="23">
        <v>2.25</v>
      </c>
      <c r="U454" s="23">
        <v>1.927</v>
      </c>
      <c r="V454" s="5" t="s">
        <v>3895</v>
      </c>
      <c r="W454" s="4">
        <v>53125</v>
      </c>
      <c r="X454" s="4">
        <v>225000</v>
      </c>
      <c r="Y454" s="14">
        <v>43985</v>
      </c>
      <c r="Z454" s="14">
        <v>46483</v>
      </c>
      <c r="AA454" s="2"/>
      <c r="AB454" s="69" t="s">
        <v>3892</v>
      </c>
      <c r="AC454" s="5" t="s">
        <v>4178</v>
      </c>
      <c r="AD454" s="2"/>
      <c r="AE454" s="10"/>
      <c r="AF454" s="23"/>
      <c r="AG454" s="6"/>
      <c r="AH454" s="5" t="s">
        <v>2</v>
      </c>
      <c r="AI454" s="5" t="s">
        <v>1718</v>
      </c>
      <c r="AJ454" s="5" t="s">
        <v>2</v>
      </c>
      <c r="AK454" s="21" t="s">
        <v>2</v>
      </c>
      <c r="AL454" s="72" t="s">
        <v>3894</v>
      </c>
      <c r="AM454" s="54" t="s">
        <v>4179</v>
      </c>
      <c r="AN454" s="34" t="s">
        <v>1650</v>
      </c>
    </row>
    <row r="455" spans="2:40" x14ac:dyDescent="0.3">
      <c r="B455" s="18" t="s">
        <v>905</v>
      </c>
      <c r="C455" s="47" t="s">
        <v>3481</v>
      </c>
      <c r="D455" s="15" t="s">
        <v>1469</v>
      </c>
      <c r="E455" s="68" t="s">
        <v>2</v>
      </c>
      <c r="F455" s="55" t="s">
        <v>2</v>
      </c>
      <c r="G455" s="40" t="s">
        <v>2</v>
      </c>
      <c r="H455" s="71" t="s">
        <v>2745</v>
      </c>
      <c r="I455" s="67" t="s">
        <v>1414</v>
      </c>
      <c r="J455" s="73" t="s">
        <v>270</v>
      </c>
      <c r="K455" s="4">
        <v>2999460</v>
      </c>
      <c r="L455" s="41">
        <v>99.632999999999996</v>
      </c>
      <c r="M455" s="4">
        <v>2988990</v>
      </c>
      <c r="N455" s="4">
        <v>3000000</v>
      </c>
      <c r="O455" s="4">
        <v>2999979</v>
      </c>
      <c r="P455" s="4">
        <v>0</v>
      </c>
      <c r="Q455" s="4">
        <v>115</v>
      </c>
      <c r="R455" s="4">
        <v>0</v>
      </c>
      <c r="S455" s="4">
        <v>0</v>
      </c>
      <c r="T455" s="23">
        <v>3.375</v>
      </c>
      <c r="U455" s="23">
        <v>3.379</v>
      </c>
      <c r="V455" s="5" t="s">
        <v>10</v>
      </c>
      <c r="W455" s="4">
        <v>32063</v>
      </c>
      <c r="X455" s="4">
        <v>101250</v>
      </c>
      <c r="Y455" s="14">
        <v>43159</v>
      </c>
      <c r="Z455" s="14">
        <v>44992</v>
      </c>
      <c r="AA455" s="2"/>
      <c r="AB455" s="69" t="s">
        <v>3892</v>
      </c>
      <c r="AC455" s="5" t="s">
        <v>4178</v>
      </c>
      <c r="AD455" s="2"/>
      <c r="AE455" s="10"/>
      <c r="AF455" s="23"/>
      <c r="AG455" s="6"/>
      <c r="AH455" s="5" t="s">
        <v>2</v>
      </c>
      <c r="AI455" s="5" t="s">
        <v>1469</v>
      </c>
      <c r="AJ455" s="5" t="s">
        <v>2</v>
      </c>
      <c r="AK455" s="21" t="s">
        <v>2</v>
      </c>
      <c r="AL455" s="72" t="s">
        <v>3894</v>
      </c>
      <c r="AM455" s="54" t="s">
        <v>4179</v>
      </c>
      <c r="AN455" s="34" t="s">
        <v>512</v>
      </c>
    </row>
    <row r="456" spans="2:40" x14ac:dyDescent="0.3">
      <c r="B456" s="18" t="s">
        <v>3156</v>
      </c>
      <c r="C456" s="47" t="s">
        <v>3711</v>
      </c>
      <c r="D456" s="15" t="s">
        <v>1470</v>
      </c>
      <c r="E456" s="68" t="s">
        <v>2</v>
      </c>
      <c r="F456" s="55" t="s">
        <v>2</v>
      </c>
      <c r="G456" s="40" t="s">
        <v>2745</v>
      </c>
      <c r="H456" s="71" t="s">
        <v>3894</v>
      </c>
      <c r="I456" s="67" t="s">
        <v>3408</v>
      </c>
      <c r="J456" s="73" t="s">
        <v>270</v>
      </c>
      <c r="K456" s="4">
        <v>4089400</v>
      </c>
      <c r="L456" s="41">
        <v>89.483000000000004</v>
      </c>
      <c r="M456" s="4">
        <v>3579320</v>
      </c>
      <c r="N456" s="4">
        <v>4000000</v>
      </c>
      <c r="O456" s="4">
        <v>4046724</v>
      </c>
      <c r="P456" s="4">
        <v>0</v>
      </c>
      <c r="Q456" s="4">
        <v>-13139</v>
      </c>
      <c r="R456" s="4">
        <v>0</v>
      </c>
      <c r="S456" s="4">
        <v>0</v>
      </c>
      <c r="T456" s="23">
        <v>2.742</v>
      </c>
      <c r="U456" s="23">
        <v>2.38</v>
      </c>
      <c r="V456" s="5" t="s">
        <v>268</v>
      </c>
      <c r="W456" s="4">
        <v>41435</v>
      </c>
      <c r="X456" s="4">
        <v>109680</v>
      </c>
      <c r="Y456" s="14">
        <v>43703</v>
      </c>
      <c r="Z456" s="14">
        <v>46249</v>
      </c>
      <c r="AA456" s="2"/>
      <c r="AB456" s="69" t="s">
        <v>3892</v>
      </c>
      <c r="AC456" s="5" t="s">
        <v>4178</v>
      </c>
      <c r="AD456" s="2"/>
      <c r="AE456" s="9">
        <v>46157</v>
      </c>
      <c r="AF456" s="23">
        <v>100</v>
      </c>
      <c r="AG456" s="9">
        <v>46157</v>
      </c>
      <c r="AH456" s="5" t="s">
        <v>2</v>
      </c>
      <c r="AI456" s="5" t="s">
        <v>1471</v>
      </c>
      <c r="AJ456" s="5" t="s">
        <v>824</v>
      </c>
      <c r="AK456" s="21" t="s">
        <v>2</v>
      </c>
      <c r="AL456" s="72" t="s">
        <v>3894</v>
      </c>
      <c r="AM456" s="54" t="s">
        <v>4179</v>
      </c>
      <c r="AN456" s="34" t="s">
        <v>1650</v>
      </c>
    </row>
    <row r="457" spans="2:40" x14ac:dyDescent="0.3">
      <c r="B457" s="18" t="s">
        <v>4293</v>
      </c>
      <c r="C457" s="47" t="s">
        <v>1240</v>
      </c>
      <c r="D457" s="15" t="s">
        <v>3157</v>
      </c>
      <c r="E457" s="68" t="s">
        <v>2</v>
      </c>
      <c r="F457" s="55" t="s">
        <v>2</v>
      </c>
      <c r="G457" s="40" t="s">
        <v>2745</v>
      </c>
      <c r="H457" s="71" t="s">
        <v>3894</v>
      </c>
      <c r="I457" s="67" t="s">
        <v>8</v>
      </c>
      <c r="J457" s="73" t="s">
        <v>270</v>
      </c>
      <c r="K457" s="4">
        <v>1858378</v>
      </c>
      <c r="L457" s="41">
        <v>98.527000000000001</v>
      </c>
      <c r="M457" s="4">
        <v>1724223</v>
      </c>
      <c r="N457" s="4">
        <v>1750000</v>
      </c>
      <c r="O457" s="4">
        <v>1777569</v>
      </c>
      <c r="P457" s="4">
        <v>0</v>
      </c>
      <c r="Q457" s="4">
        <v>-16627</v>
      </c>
      <c r="R457" s="4">
        <v>0</v>
      </c>
      <c r="S457" s="4">
        <v>0</v>
      </c>
      <c r="T457" s="23">
        <v>4.55</v>
      </c>
      <c r="U457" s="23">
        <v>3.5190000000000001</v>
      </c>
      <c r="V457" s="5" t="s">
        <v>3895</v>
      </c>
      <c r="W457" s="4">
        <v>13492</v>
      </c>
      <c r="X457" s="4">
        <v>79625</v>
      </c>
      <c r="Y457" s="14">
        <v>43013</v>
      </c>
      <c r="Z457" s="14">
        <v>45595</v>
      </c>
      <c r="AA457" s="2"/>
      <c r="AB457" s="69" t="s">
        <v>3892</v>
      </c>
      <c r="AC457" s="5" t="s">
        <v>4178</v>
      </c>
      <c r="AD457" s="2"/>
      <c r="AE457" s="14">
        <v>45503</v>
      </c>
      <c r="AF457" s="23">
        <v>100</v>
      </c>
      <c r="AG457" s="9">
        <v>45503</v>
      </c>
      <c r="AH457" s="5" t="s">
        <v>4294</v>
      </c>
      <c r="AI457" s="5" t="s">
        <v>3157</v>
      </c>
      <c r="AJ457" s="5" t="s">
        <v>2</v>
      </c>
      <c r="AK457" s="21" t="s">
        <v>2</v>
      </c>
      <c r="AL457" s="72" t="s">
        <v>3894</v>
      </c>
      <c r="AM457" s="54" t="s">
        <v>4179</v>
      </c>
      <c r="AN457" s="34" t="s">
        <v>1189</v>
      </c>
    </row>
    <row r="458" spans="2:40" x14ac:dyDescent="0.3">
      <c r="B458" s="18" t="s">
        <v>906</v>
      </c>
      <c r="C458" s="47" t="s">
        <v>1719</v>
      </c>
      <c r="D458" s="15" t="s">
        <v>2835</v>
      </c>
      <c r="E458" s="68" t="s">
        <v>2</v>
      </c>
      <c r="F458" s="55" t="s">
        <v>2</v>
      </c>
      <c r="G458" s="40" t="s">
        <v>2745</v>
      </c>
      <c r="H458" s="71" t="s">
        <v>3894</v>
      </c>
      <c r="I458" s="67" t="s">
        <v>3408</v>
      </c>
      <c r="J458" s="73" t="s">
        <v>270</v>
      </c>
      <c r="K458" s="4">
        <v>5738331</v>
      </c>
      <c r="L458" s="41">
        <v>91.902000000000001</v>
      </c>
      <c r="M458" s="4">
        <v>5455303</v>
      </c>
      <c r="N458" s="4">
        <v>5936000</v>
      </c>
      <c r="O458" s="4">
        <v>5827872</v>
      </c>
      <c r="P458" s="4">
        <v>0</v>
      </c>
      <c r="Q458" s="4">
        <v>26464</v>
      </c>
      <c r="R458" s="4">
        <v>0</v>
      </c>
      <c r="S458" s="4">
        <v>0</v>
      </c>
      <c r="T458" s="23">
        <v>2.65</v>
      </c>
      <c r="U458" s="23">
        <v>3.1640000000000001</v>
      </c>
      <c r="V458" s="5" t="s">
        <v>3895</v>
      </c>
      <c r="W458" s="4">
        <v>33209</v>
      </c>
      <c r="X458" s="4">
        <v>157304</v>
      </c>
      <c r="Y458" s="14">
        <v>43641</v>
      </c>
      <c r="Z458" s="14">
        <v>46310</v>
      </c>
      <c r="AA458" s="2"/>
      <c r="AB458" s="69" t="s">
        <v>3892</v>
      </c>
      <c r="AC458" s="5" t="s">
        <v>4178</v>
      </c>
      <c r="AD458" s="2"/>
      <c r="AE458" s="14">
        <v>46218</v>
      </c>
      <c r="AF458" s="23">
        <v>100</v>
      </c>
      <c r="AG458" s="6"/>
      <c r="AH458" s="5" t="s">
        <v>2367</v>
      </c>
      <c r="AI458" s="5" t="s">
        <v>2835</v>
      </c>
      <c r="AJ458" s="5" t="s">
        <v>2</v>
      </c>
      <c r="AK458" s="21" t="s">
        <v>2</v>
      </c>
      <c r="AL458" s="72" t="s">
        <v>3894</v>
      </c>
      <c r="AM458" s="54" t="s">
        <v>4179</v>
      </c>
      <c r="AN458" s="34" t="s">
        <v>1650</v>
      </c>
    </row>
    <row r="459" spans="2:40" x14ac:dyDescent="0.3">
      <c r="B459" s="18" t="s">
        <v>2020</v>
      </c>
      <c r="C459" s="47" t="s">
        <v>1472</v>
      </c>
      <c r="D459" s="15" t="s">
        <v>3158</v>
      </c>
      <c r="E459" s="68" t="s">
        <v>2</v>
      </c>
      <c r="F459" s="55" t="s">
        <v>2</v>
      </c>
      <c r="G459" s="40" t="s">
        <v>2745</v>
      </c>
      <c r="H459" s="71" t="s">
        <v>3894</v>
      </c>
      <c r="I459" s="67" t="s">
        <v>8</v>
      </c>
      <c r="J459" s="73" t="s">
        <v>270</v>
      </c>
      <c r="K459" s="4">
        <v>3471860</v>
      </c>
      <c r="L459" s="41">
        <v>97.001000000000005</v>
      </c>
      <c r="M459" s="4">
        <v>3395035</v>
      </c>
      <c r="N459" s="4">
        <v>3500000</v>
      </c>
      <c r="O459" s="4">
        <v>3490828</v>
      </c>
      <c r="P459" s="4">
        <v>0</v>
      </c>
      <c r="Q459" s="4">
        <v>5263</v>
      </c>
      <c r="R459" s="4">
        <v>0</v>
      </c>
      <c r="S459" s="4">
        <v>0</v>
      </c>
      <c r="T459" s="23">
        <v>3.25</v>
      </c>
      <c r="U459" s="23">
        <v>3.4129999999999998</v>
      </c>
      <c r="V459" s="5" t="s">
        <v>10</v>
      </c>
      <c r="W459" s="4">
        <v>37917</v>
      </c>
      <c r="X459" s="4">
        <v>113750</v>
      </c>
      <c r="Y459" s="14">
        <v>43551</v>
      </c>
      <c r="Z459" s="14">
        <v>45536</v>
      </c>
      <c r="AA459" s="2"/>
      <c r="AB459" s="69" t="s">
        <v>3892</v>
      </c>
      <c r="AC459" s="5" t="s">
        <v>4178</v>
      </c>
      <c r="AD459" s="2"/>
      <c r="AE459" s="14">
        <v>45474</v>
      </c>
      <c r="AF459" s="23">
        <v>100</v>
      </c>
      <c r="AG459" s="6"/>
      <c r="AH459" s="5" t="s">
        <v>2021</v>
      </c>
      <c r="AI459" s="5" t="s">
        <v>574</v>
      </c>
      <c r="AJ459" s="5" t="s">
        <v>3482</v>
      </c>
      <c r="AK459" s="21" t="s">
        <v>2</v>
      </c>
      <c r="AL459" s="72" t="s">
        <v>3894</v>
      </c>
      <c r="AM459" s="54" t="s">
        <v>4179</v>
      </c>
      <c r="AN459" s="34" t="s">
        <v>1189</v>
      </c>
    </row>
    <row r="460" spans="2:40" x14ac:dyDescent="0.3">
      <c r="B460" s="18" t="s">
        <v>3159</v>
      </c>
      <c r="C460" s="47" t="s">
        <v>4295</v>
      </c>
      <c r="D460" s="15" t="s">
        <v>3969</v>
      </c>
      <c r="E460" s="68" t="s">
        <v>2</v>
      </c>
      <c r="F460" s="55" t="s">
        <v>2</v>
      </c>
      <c r="G460" s="40" t="s">
        <v>2745</v>
      </c>
      <c r="H460" s="71" t="s">
        <v>2745</v>
      </c>
      <c r="I460" s="67" t="s">
        <v>1414</v>
      </c>
      <c r="J460" s="73" t="s">
        <v>270</v>
      </c>
      <c r="K460" s="4">
        <v>6052050</v>
      </c>
      <c r="L460" s="41">
        <v>97.108999999999995</v>
      </c>
      <c r="M460" s="4">
        <v>5826540</v>
      </c>
      <c r="N460" s="4">
        <v>6000000</v>
      </c>
      <c r="O460" s="4">
        <v>6024817</v>
      </c>
      <c r="P460" s="4">
        <v>0</v>
      </c>
      <c r="Q460" s="4">
        <v>-7625</v>
      </c>
      <c r="R460" s="4">
        <v>0</v>
      </c>
      <c r="S460" s="4">
        <v>0</v>
      </c>
      <c r="T460" s="23">
        <v>3.75</v>
      </c>
      <c r="U460" s="23">
        <v>3.605</v>
      </c>
      <c r="V460" s="5" t="s">
        <v>10</v>
      </c>
      <c r="W460" s="4">
        <v>66250</v>
      </c>
      <c r="X460" s="4">
        <v>225000</v>
      </c>
      <c r="Y460" s="14">
        <v>43551</v>
      </c>
      <c r="Z460" s="14">
        <v>46096</v>
      </c>
      <c r="AA460" s="2"/>
      <c r="AB460" s="69" t="s">
        <v>3892</v>
      </c>
      <c r="AC460" s="5" t="s">
        <v>4178</v>
      </c>
      <c r="AD460" s="2"/>
      <c r="AE460" s="14">
        <v>46037</v>
      </c>
      <c r="AF460" s="23">
        <v>100</v>
      </c>
      <c r="AG460" s="9">
        <v>46037</v>
      </c>
      <c r="AH460" s="5" t="s">
        <v>3160</v>
      </c>
      <c r="AI460" s="5" t="s">
        <v>3483</v>
      </c>
      <c r="AJ460" s="5" t="s">
        <v>3970</v>
      </c>
      <c r="AK460" s="21" t="s">
        <v>2</v>
      </c>
      <c r="AL460" s="72" t="s">
        <v>3894</v>
      </c>
      <c r="AM460" s="54" t="s">
        <v>4179</v>
      </c>
      <c r="AN460" s="34" t="s">
        <v>512</v>
      </c>
    </row>
    <row r="461" spans="2:40" x14ac:dyDescent="0.3">
      <c r="B461" s="18" t="s">
        <v>4296</v>
      </c>
      <c r="C461" s="47" t="s">
        <v>2836</v>
      </c>
      <c r="D461" s="15" t="s">
        <v>3969</v>
      </c>
      <c r="E461" s="68" t="s">
        <v>2</v>
      </c>
      <c r="F461" s="55" t="s">
        <v>2</v>
      </c>
      <c r="G461" s="40" t="s">
        <v>2745</v>
      </c>
      <c r="H461" s="71" t="s">
        <v>2745</v>
      </c>
      <c r="I461" s="67" t="s">
        <v>1414</v>
      </c>
      <c r="J461" s="73" t="s">
        <v>270</v>
      </c>
      <c r="K461" s="4">
        <v>4656450</v>
      </c>
      <c r="L461" s="41">
        <v>81.495999999999995</v>
      </c>
      <c r="M461" s="4">
        <v>4074800</v>
      </c>
      <c r="N461" s="4">
        <v>5000000</v>
      </c>
      <c r="O461" s="4">
        <v>4688765</v>
      </c>
      <c r="P461" s="4">
        <v>0</v>
      </c>
      <c r="Q461" s="4">
        <v>32315</v>
      </c>
      <c r="R461" s="4">
        <v>0</v>
      </c>
      <c r="S461" s="4">
        <v>0</v>
      </c>
      <c r="T461" s="23">
        <v>1.9</v>
      </c>
      <c r="U461" s="23">
        <v>2.8319999999999999</v>
      </c>
      <c r="V461" s="5" t="s">
        <v>3898</v>
      </c>
      <c r="W461" s="4">
        <v>4222</v>
      </c>
      <c r="X461" s="4">
        <v>95000</v>
      </c>
      <c r="Y461" s="14">
        <v>44608</v>
      </c>
      <c r="Z461" s="14">
        <v>47649</v>
      </c>
      <c r="AA461" s="2"/>
      <c r="AB461" s="69" t="s">
        <v>3892</v>
      </c>
      <c r="AC461" s="5" t="s">
        <v>4178</v>
      </c>
      <c r="AD461" s="2"/>
      <c r="AE461" s="9">
        <v>47557</v>
      </c>
      <c r="AF461" s="23">
        <v>100</v>
      </c>
      <c r="AG461" s="6"/>
      <c r="AH461" s="5" t="s">
        <v>3160</v>
      </c>
      <c r="AI461" s="5" t="s">
        <v>3483</v>
      </c>
      <c r="AJ461" s="5" t="s">
        <v>3970</v>
      </c>
      <c r="AK461" s="21" t="s">
        <v>2</v>
      </c>
      <c r="AL461" s="72" t="s">
        <v>3894</v>
      </c>
      <c r="AM461" s="54" t="s">
        <v>4179</v>
      </c>
      <c r="AN461" s="34" t="s">
        <v>512</v>
      </c>
    </row>
    <row r="462" spans="2:40" x14ac:dyDescent="0.3">
      <c r="B462" s="18" t="s">
        <v>907</v>
      </c>
      <c r="C462" s="47" t="s">
        <v>2368</v>
      </c>
      <c r="D462" s="15" t="s">
        <v>2589</v>
      </c>
      <c r="E462" s="68" t="s">
        <v>2</v>
      </c>
      <c r="F462" s="55" t="s">
        <v>2</v>
      </c>
      <c r="G462" s="40" t="s">
        <v>2745</v>
      </c>
      <c r="H462" s="71" t="s">
        <v>825</v>
      </c>
      <c r="I462" s="67" t="s">
        <v>1164</v>
      </c>
      <c r="J462" s="73" t="s">
        <v>270</v>
      </c>
      <c r="K462" s="4">
        <v>2823750</v>
      </c>
      <c r="L462" s="41">
        <v>82.739000000000004</v>
      </c>
      <c r="M462" s="4">
        <v>2482170</v>
      </c>
      <c r="N462" s="4">
        <v>3000000</v>
      </c>
      <c r="O462" s="4">
        <v>2482170</v>
      </c>
      <c r="P462" s="4">
        <v>-356669</v>
      </c>
      <c r="Q462" s="4">
        <v>15089</v>
      </c>
      <c r="R462" s="4">
        <v>0</v>
      </c>
      <c r="S462" s="4">
        <v>0</v>
      </c>
      <c r="T462" s="23">
        <v>3.625</v>
      </c>
      <c r="U462" s="23">
        <v>4.4269999999999996</v>
      </c>
      <c r="V462" s="5" t="s">
        <v>3895</v>
      </c>
      <c r="W462" s="4">
        <v>22958</v>
      </c>
      <c r="X462" s="4">
        <v>108750</v>
      </c>
      <c r="Y462" s="14">
        <v>44594</v>
      </c>
      <c r="Z462" s="14">
        <v>47863</v>
      </c>
      <c r="AA462" s="2"/>
      <c r="AB462" s="69" t="s">
        <v>3892</v>
      </c>
      <c r="AC462" s="5" t="s">
        <v>4178</v>
      </c>
      <c r="AD462" s="2"/>
      <c r="AE462" s="14">
        <v>46037</v>
      </c>
      <c r="AF462" s="23">
        <v>101.813</v>
      </c>
      <c r="AG462" s="6"/>
      <c r="AH462" s="5" t="s">
        <v>3161</v>
      </c>
      <c r="AI462" s="5" t="s">
        <v>2589</v>
      </c>
      <c r="AJ462" s="5" t="s">
        <v>2</v>
      </c>
      <c r="AK462" s="21" t="s">
        <v>2</v>
      </c>
      <c r="AL462" s="72" t="s">
        <v>3894</v>
      </c>
      <c r="AM462" s="54" t="s">
        <v>4179</v>
      </c>
      <c r="AN462" s="34" t="s">
        <v>302</v>
      </c>
    </row>
    <row r="463" spans="2:40" x14ac:dyDescent="0.3">
      <c r="B463" s="18" t="s">
        <v>2022</v>
      </c>
      <c r="C463" s="47" t="s">
        <v>2023</v>
      </c>
      <c r="D463" s="15" t="s">
        <v>575</v>
      </c>
      <c r="E463" s="68" t="s">
        <v>2</v>
      </c>
      <c r="F463" s="55" t="s">
        <v>2</v>
      </c>
      <c r="G463" s="40" t="s">
        <v>2745</v>
      </c>
      <c r="H463" s="71" t="s">
        <v>825</v>
      </c>
      <c r="I463" s="67" t="s">
        <v>1164</v>
      </c>
      <c r="J463" s="73" t="s">
        <v>270</v>
      </c>
      <c r="K463" s="4">
        <v>3000000</v>
      </c>
      <c r="L463" s="41">
        <v>88.480999999999995</v>
      </c>
      <c r="M463" s="4">
        <v>2654430</v>
      </c>
      <c r="N463" s="4">
        <v>3000000</v>
      </c>
      <c r="O463" s="4">
        <v>2654430</v>
      </c>
      <c r="P463" s="4">
        <v>-345570</v>
      </c>
      <c r="Q463" s="4">
        <v>0</v>
      </c>
      <c r="R463" s="4">
        <v>0</v>
      </c>
      <c r="S463" s="4">
        <v>0</v>
      </c>
      <c r="T463" s="23">
        <v>4.125</v>
      </c>
      <c r="U463" s="23">
        <v>4.125</v>
      </c>
      <c r="V463" s="5" t="s">
        <v>1916</v>
      </c>
      <c r="W463" s="4">
        <v>51906</v>
      </c>
      <c r="X463" s="4">
        <v>90406</v>
      </c>
      <c r="Y463" s="14">
        <v>44488</v>
      </c>
      <c r="Z463" s="14">
        <v>47514</v>
      </c>
      <c r="AA463" s="2"/>
      <c r="AB463" s="69" t="s">
        <v>3892</v>
      </c>
      <c r="AC463" s="5" t="s">
        <v>4178</v>
      </c>
      <c r="AD463" s="2"/>
      <c r="AE463" s="14">
        <v>45688</v>
      </c>
      <c r="AF463" s="23">
        <v>102.063</v>
      </c>
      <c r="AG463" s="6"/>
      <c r="AH463" s="5" t="s">
        <v>3484</v>
      </c>
      <c r="AI463" s="5" t="s">
        <v>4297</v>
      </c>
      <c r="AJ463" s="5" t="s">
        <v>824</v>
      </c>
      <c r="AK463" s="21" t="s">
        <v>2</v>
      </c>
      <c r="AL463" s="72" t="s">
        <v>3894</v>
      </c>
      <c r="AM463" s="54" t="s">
        <v>4179</v>
      </c>
      <c r="AN463" s="34" t="s">
        <v>302</v>
      </c>
    </row>
    <row r="464" spans="2:40" x14ac:dyDescent="0.3">
      <c r="B464" s="18" t="s">
        <v>3485</v>
      </c>
      <c r="C464" s="47" t="s">
        <v>908</v>
      </c>
      <c r="D464" s="15" t="s">
        <v>4298</v>
      </c>
      <c r="E464" s="68" t="s">
        <v>2</v>
      </c>
      <c r="F464" s="55" t="s">
        <v>2</v>
      </c>
      <c r="G464" s="40" t="s">
        <v>2745</v>
      </c>
      <c r="H464" s="71" t="s">
        <v>3894</v>
      </c>
      <c r="I464" s="67" t="s">
        <v>8</v>
      </c>
      <c r="J464" s="73" t="s">
        <v>270</v>
      </c>
      <c r="K464" s="4">
        <v>4962010</v>
      </c>
      <c r="L464" s="41">
        <v>96.986000000000004</v>
      </c>
      <c r="M464" s="4">
        <v>4849300</v>
      </c>
      <c r="N464" s="4">
        <v>5000000</v>
      </c>
      <c r="O464" s="4">
        <v>4986893</v>
      </c>
      <c r="P464" s="4">
        <v>0</v>
      </c>
      <c r="Q464" s="4">
        <v>6227</v>
      </c>
      <c r="R464" s="4">
        <v>0</v>
      </c>
      <c r="S464" s="4">
        <v>0</v>
      </c>
      <c r="T464" s="23">
        <v>3.8</v>
      </c>
      <c r="U464" s="23">
        <v>3.9390000000000001</v>
      </c>
      <c r="V464" s="5" t="s">
        <v>3409</v>
      </c>
      <c r="W464" s="4">
        <v>24278</v>
      </c>
      <c r="X464" s="4">
        <v>190000</v>
      </c>
      <c r="Y464" s="14">
        <v>43553</v>
      </c>
      <c r="Z464" s="14">
        <v>45611</v>
      </c>
      <c r="AA464" s="2"/>
      <c r="AB464" s="69" t="s">
        <v>3892</v>
      </c>
      <c r="AC464" s="5" t="s">
        <v>4178</v>
      </c>
      <c r="AD464" s="2"/>
      <c r="AE464" s="9">
        <v>45519</v>
      </c>
      <c r="AF464" s="23">
        <v>100</v>
      </c>
      <c r="AG464" s="9">
        <v>45519</v>
      </c>
      <c r="AH464" s="5" t="s">
        <v>3162</v>
      </c>
      <c r="AI464" s="5" t="s">
        <v>86</v>
      </c>
      <c r="AJ464" s="5" t="s">
        <v>86</v>
      </c>
      <c r="AK464" s="21" t="s">
        <v>2</v>
      </c>
      <c r="AL464" s="72" t="s">
        <v>3894</v>
      </c>
      <c r="AM464" s="54" t="s">
        <v>4179</v>
      </c>
      <c r="AN464" s="34" t="s">
        <v>1189</v>
      </c>
    </row>
    <row r="465" spans="2:40" x14ac:dyDescent="0.3">
      <c r="B465" s="18" t="s">
        <v>87</v>
      </c>
      <c r="C465" s="47" t="s">
        <v>3163</v>
      </c>
      <c r="D465" s="15" t="s">
        <v>2369</v>
      </c>
      <c r="E465" s="68" t="s">
        <v>2</v>
      </c>
      <c r="F465" s="55" t="s">
        <v>2</v>
      </c>
      <c r="G465" s="40" t="s">
        <v>2745</v>
      </c>
      <c r="H465" s="71" t="s">
        <v>3894</v>
      </c>
      <c r="I465" s="67" t="s">
        <v>1164</v>
      </c>
      <c r="J465" s="73" t="s">
        <v>270</v>
      </c>
      <c r="K465" s="4">
        <v>4712300</v>
      </c>
      <c r="L465" s="41">
        <v>90.524000000000001</v>
      </c>
      <c r="M465" s="4">
        <v>4526200</v>
      </c>
      <c r="N465" s="4">
        <v>5000000</v>
      </c>
      <c r="O465" s="4">
        <v>4725594</v>
      </c>
      <c r="P465" s="4">
        <v>0</v>
      </c>
      <c r="Q465" s="4">
        <v>13294</v>
      </c>
      <c r="R465" s="4">
        <v>0</v>
      </c>
      <c r="S465" s="4">
        <v>0</v>
      </c>
      <c r="T465" s="23">
        <v>4.375</v>
      </c>
      <c r="U465" s="23">
        <v>5.2839999999999998</v>
      </c>
      <c r="V465" s="5" t="s">
        <v>3409</v>
      </c>
      <c r="W465" s="4">
        <v>27951</v>
      </c>
      <c r="X465" s="4">
        <v>109375</v>
      </c>
      <c r="Y465" s="14">
        <v>44767</v>
      </c>
      <c r="Z465" s="14">
        <v>47618</v>
      </c>
      <c r="AA465" s="2"/>
      <c r="AB465" s="69" t="s">
        <v>3892</v>
      </c>
      <c r="AC465" s="5" t="s">
        <v>4178</v>
      </c>
      <c r="AD465" s="2"/>
      <c r="AE465" s="9">
        <v>47529</v>
      </c>
      <c r="AF465" s="23">
        <v>100</v>
      </c>
      <c r="AG465" s="6"/>
      <c r="AH465" s="5" t="s">
        <v>3712</v>
      </c>
      <c r="AI465" s="5" t="s">
        <v>2369</v>
      </c>
      <c r="AJ465" s="5" t="s">
        <v>2</v>
      </c>
      <c r="AK465" s="21" t="s">
        <v>2</v>
      </c>
      <c r="AL465" s="72" t="s">
        <v>3894</v>
      </c>
      <c r="AM465" s="54" t="s">
        <v>4179</v>
      </c>
      <c r="AN465" s="34" t="s">
        <v>828</v>
      </c>
    </row>
    <row r="466" spans="2:40" x14ac:dyDescent="0.3">
      <c r="B466" s="18" t="s">
        <v>2024</v>
      </c>
      <c r="C466" s="47" t="s">
        <v>3486</v>
      </c>
      <c r="D466" s="15" t="s">
        <v>576</v>
      </c>
      <c r="E466" s="68" t="s">
        <v>2</v>
      </c>
      <c r="F466" s="55" t="s">
        <v>2</v>
      </c>
      <c r="G466" s="40" t="s">
        <v>2745</v>
      </c>
      <c r="H466" s="71" t="s">
        <v>3894</v>
      </c>
      <c r="I466" s="67" t="s">
        <v>8</v>
      </c>
      <c r="J466" s="73" t="s">
        <v>270</v>
      </c>
      <c r="K466" s="4">
        <v>5262900</v>
      </c>
      <c r="L466" s="41">
        <v>99.287999999999997</v>
      </c>
      <c r="M466" s="4">
        <v>4964400</v>
      </c>
      <c r="N466" s="4">
        <v>5000000</v>
      </c>
      <c r="O466" s="4">
        <v>5020299</v>
      </c>
      <c r="P466" s="4">
        <v>0</v>
      </c>
      <c r="Q466" s="4">
        <v>-43530</v>
      </c>
      <c r="R466" s="4">
        <v>0</v>
      </c>
      <c r="S466" s="4">
        <v>0</v>
      </c>
      <c r="T466" s="23">
        <v>4.25</v>
      </c>
      <c r="U466" s="23">
        <v>3.3439999999999999</v>
      </c>
      <c r="V466" s="5" t="s">
        <v>3898</v>
      </c>
      <c r="W466" s="4">
        <v>9444</v>
      </c>
      <c r="X466" s="4">
        <v>212500</v>
      </c>
      <c r="Y466" s="14">
        <v>42712</v>
      </c>
      <c r="Z466" s="14">
        <v>45092</v>
      </c>
      <c r="AA466" s="2"/>
      <c r="AB466" s="69" t="s">
        <v>3892</v>
      </c>
      <c r="AC466" s="5" t="s">
        <v>7</v>
      </c>
      <c r="AD466" s="2"/>
      <c r="AE466" s="6"/>
      <c r="AF466" s="23"/>
      <c r="AG466" s="6"/>
      <c r="AH466" s="5" t="s">
        <v>4299</v>
      </c>
      <c r="AI466" s="5" t="s">
        <v>3713</v>
      </c>
      <c r="AJ466" s="5" t="s">
        <v>3713</v>
      </c>
      <c r="AK466" s="21" t="s">
        <v>2</v>
      </c>
      <c r="AL466" s="72" t="s">
        <v>3894</v>
      </c>
      <c r="AM466" s="54" t="s">
        <v>4179</v>
      </c>
      <c r="AN466" s="34" t="s">
        <v>1189</v>
      </c>
    </row>
    <row r="467" spans="2:40" x14ac:dyDescent="0.3">
      <c r="B467" s="18" t="s">
        <v>3164</v>
      </c>
      <c r="C467" s="47" t="s">
        <v>2025</v>
      </c>
      <c r="D467" s="15" t="s">
        <v>337</v>
      </c>
      <c r="E467" s="68" t="s">
        <v>2</v>
      </c>
      <c r="F467" s="55" t="s">
        <v>2</v>
      </c>
      <c r="G467" s="40" t="s">
        <v>2</v>
      </c>
      <c r="H467" s="71" t="s">
        <v>3894</v>
      </c>
      <c r="I467" s="67" t="s">
        <v>3408</v>
      </c>
      <c r="J467" s="73" t="s">
        <v>2</v>
      </c>
      <c r="K467" s="4">
        <v>8076560</v>
      </c>
      <c r="L467" s="41">
        <v>94.379000000000005</v>
      </c>
      <c r="M467" s="4">
        <v>7550320</v>
      </c>
      <c r="N467" s="4">
        <v>8000000</v>
      </c>
      <c r="O467" s="4">
        <v>8044314</v>
      </c>
      <c r="P467" s="4">
        <v>0</v>
      </c>
      <c r="Q467" s="4">
        <v>-9249</v>
      </c>
      <c r="R467" s="4">
        <v>0</v>
      </c>
      <c r="S467" s="4">
        <v>0</v>
      </c>
      <c r="T467" s="23">
        <v>3.94</v>
      </c>
      <c r="U467" s="23">
        <v>3.8</v>
      </c>
      <c r="V467" s="5" t="s">
        <v>3895</v>
      </c>
      <c r="W467" s="4">
        <v>53409</v>
      </c>
      <c r="X467" s="4">
        <v>315200</v>
      </c>
      <c r="Y467" s="14">
        <v>43587</v>
      </c>
      <c r="Z467" s="14">
        <v>46507</v>
      </c>
      <c r="AA467" s="2"/>
      <c r="AB467" s="69" t="s">
        <v>2783</v>
      </c>
      <c r="AC467" s="5" t="s">
        <v>2</v>
      </c>
      <c r="AD467" s="2"/>
      <c r="AE467" s="6"/>
      <c r="AF467" s="23"/>
      <c r="AG467" s="6"/>
      <c r="AH467" s="5" t="s">
        <v>2</v>
      </c>
      <c r="AI467" s="5" t="s">
        <v>337</v>
      </c>
      <c r="AJ467" s="5" t="s">
        <v>2</v>
      </c>
      <c r="AK467" s="21" t="s">
        <v>2</v>
      </c>
      <c r="AL467" s="72" t="s">
        <v>3894</v>
      </c>
      <c r="AM467" s="54" t="s">
        <v>4179</v>
      </c>
      <c r="AN467" s="34" t="s">
        <v>317</v>
      </c>
    </row>
    <row r="468" spans="2:40" x14ac:dyDescent="0.3">
      <c r="B468" s="18" t="s">
        <v>4300</v>
      </c>
      <c r="C468" s="47" t="s">
        <v>3165</v>
      </c>
      <c r="D468" s="15" t="s">
        <v>4301</v>
      </c>
      <c r="E468" s="68" t="s">
        <v>2</v>
      </c>
      <c r="F468" s="55" t="s">
        <v>2</v>
      </c>
      <c r="G468" s="40" t="s">
        <v>2745</v>
      </c>
      <c r="H468" s="71" t="s">
        <v>3894</v>
      </c>
      <c r="I468" s="67" t="s">
        <v>3408</v>
      </c>
      <c r="J468" s="73" t="s">
        <v>270</v>
      </c>
      <c r="K468" s="4">
        <v>8295580</v>
      </c>
      <c r="L468" s="41">
        <v>99.221000000000004</v>
      </c>
      <c r="M468" s="4">
        <v>7937680</v>
      </c>
      <c r="N468" s="4">
        <v>8000000</v>
      </c>
      <c r="O468" s="4">
        <v>8033243</v>
      </c>
      <c r="P468" s="4">
        <v>0</v>
      </c>
      <c r="Q468" s="4">
        <v>-48567</v>
      </c>
      <c r="R468" s="4">
        <v>0</v>
      </c>
      <c r="S468" s="4">
        <v>0</v>
      </c>
      <c r="T468" s="23">
        <v>4</v>
      </c>
      <c r="U468" s="23">
        <v>3.3639999999999999</v>
      </c>
      <c r="V468" s="5" t="s">
        <v>10</v>
      </c>
      <c r="W468" s="4">
        <v>106667</v>
      </c>
      <c r="X468" s="4">
        <v>320000</v>
      </c>
      <c r="Y468" s="14">
        <v>43138</v>
      </c>
      <c r="Z468" s="14">
        <v>45170</v>
      </c>
      <c r="AA468" s="2"/>
      <c r="AB468" s="69" t="s">
        <v>3892</v>
      </c>
      <c r="AC468" s="5" t="s">
        <v>4178</v>
      </c>
      <c r="AD468" s="2"/>
      <c r="AE468" s="6"/>
      <c r="AF468" s="23"/>
      <c r="AG468" s="6"/>
      <c r="AH468" s="5" t="s">
        <v>338</v>
      </c>
      <c r="AI468" s="5" t="s">
        <v>2590</v>
      </c>
      <c r="AJ468" s="5" t="s">
        <v>1473</v>
      </c>
      <c r="AK468" s="21" t="s">
        <v>2</v>
      </c>
      <c r="AL468" s="72" t="s">
        <v>3894</v>
      </c>
      <c r="AM468" s="54" t="s">
        <v>4179</v>
      </c>
      <c r="AN468" s="34" t="s">
        <v>1650</v>
      </c>
    </row>
    <row r="469" spans="2:40" x14ac:dyDescent="0.3">
      <c r="B469" s="18" t="s">
        <v>909</v>
      </c>
      <c r="C469" s="47" t="s">
        <v>4302</v>
      </c>
      <c r="D469" s="15" t="s">
        <v>1720</v>
      </c>
      <c r="E469" s="68" t="s">
        <v>2</v>
      </c>
      <c r="F469" s="55" t="s">
        <v>2</v>
      </c>
      <c r="G469" s="40" t="s">
        <v>2745</v>
      </c>
      <c r="H469" s="71" t="s">
        <v>825</v>
      </c>
      <c r="I469" s="67" t="s">
        <v>8</v>
      </c>
      <c r="J469" s="73" t="s">
        <v>270</v>
      </c>
      <c r="K469" s="4">
        <v>9950000</v>
      </c>
      <c r="L469" s="41">
        <v>82.430999999999997</v>
      </c>
      <c r="M469" s="4">
        <v>8243100</v>
      </c>
      <c r="N469" s="4">
        <v>10000000</v>
      </c>
      <c r="O469" s="4">
        <v>8243100</v>
      </c>
      <c r="P469" s="4">
        <v>-1712536</v>
      </c>
      <c r="Q469" s="4">
        <v>5636</v>
      </c>
      <c r="R469" s="4">
        <v>0</v>
      </c>
      <c r="S469" s="4">
        <v>0</v>
      </c>
      <c r="T469" s="23">
        <v>3.875</v>
      </c>
      <c r="U469" s="23">
        <v>3.9540000000000002</v>
      </c>
      <c r="V469" s="5" t="s">
        <v>3898</v>
      </c>
      <c r="W469" s="4">
        <v>32292</v>
      </c>
      <c r="X469" s="4">
        <v>387500</v>
      </c>
      <c r="Y469" s="14">
        <v>44594</v>
      </c>
      <c r="Z469" s="14">
        <v>47270</v>
      </c>
      <c r="AA469" s="2"/>
      <c r="AB469" s="69" t="s">
        <v>3892</v>
      </c>
      <c r="AC469" s="5" t="s">
        <v>4178</v>
      </c>
      <c r="AD469" s="2"/>
      <c r="AE469" s="9">
        <v>45444</v>
      </c>
      <c r="AF469" s="23">
        <v>101.938</v>
      </c>
      <c r="AG469" s="6"/>
      <c r="AH469" s="5" t="s">
        <v>2370</v>
      </c>
      <c r="AI469" s="5" t="s">
        <v>3166</v>
      </c>
      <c r="AJ469" s="5" t="s">
        <v>824</v>
      </c>
      <c r="AK469" s="21" t="s">
        <v>2</v>
      </c>
      <c r="AL469" s="72" t="s">
        <v>3894</v>
      </c>
      <c r="AM469" s="54" t="s">
        <v>4179</v>
      </c>
      <c r="AN469" s="34" t="s">
        <v>525</v>
      </c>
    </row>
    <row r="470" spans="2:40" x14ac:dyDescent="0.3">
      <c r="B470" s="18" t="s">
        <v>2026</v>
      </c>
      <c r="C470" s="47" t="s">
        <v>910</v>
      </c>
      <c r="D470" s="15" t="s">
        <v>1241</v>
      </c>
      <c r="E470" s="68" t="s">
        <v>2</v>
      </c>
      <c r="F470" s="55" t="s">
        <v>2</v>
      </c>
      <c r="G470" s="40" t="s">
        <v>2745</v>
      </c>
      <c r="H470" s="71" t="s">
        <v>3894</v>
      </c>
      <c r="I470" s="67" t="s">
        <v>3408</v>
      </c>
      <c r="J470" s="73" t="s">
        <v>270</v>
      </c>
      <c r="K470" s="4">
        <v>9179283</v>
      </c>
      <c r="L470" s="41">
        <v>83.186999999999998</v>
      </c>
      <c r="M470" s="4">
        <v>7642390</v>
      </c>
      <c r="N470" s="4">
        <v>9187000</v>
      </c>
      <c r="O470" s="4">
        <v>9181403</v>
      </c>
      <c r="P470" s="4">
        <v>0</v>
      </c>
      <c r="Q470" s="4">
        <v>1015</v>
      </c>
      <c r="R470" s="4">
        <v>0</v>
      </c>
      <c r="S470" s="4">
        <v>0</v>
      </c>
      <c r="T470" s="23">
        <v>1.3</v>
      </c>
      <c r="U470" s="23">
        <v>1.3120000000000001</v>
      </c>
      <c r="V470" s="5" t="s">
        <v>3895</v>
      </c>
      <c r="W470" s="4">
        <v>25213</v>
      </c>
      <c r="X470" s="4">
        <v>119431</v>
      </c>
      <c r="Y470" s="14">
        <v>44167</v>
      </c>
      <c r="Z470" s="14">
        <v>46858</v>
      </c>
      <c r="AA470" s="2"/>
      <c r="AB470" s="69" t="s">
        <v>3892</v>
      </c>
      <c r="AC470" s="5" t="s">
        <v>4178</v>
      </c>
      <c r="AD470" s="2"/>
      <c r="AE470" s="14">
        <v>46798</v>
      </c>
      <c r="AF470" s="23">
        <v>100</v>
      </c>
      <c r="AG470" s="10"/>
      <c r="AH470" s="5" t="s">
        <v>2027</v>
      </c>
      <c r="AI470" s="5" t="s">
        <v>1241</v>
      </c>
      <c r="AJ470" s="5" t="s">
        <v>2</v>
      </c>
      <c r="AK470" s="21" t="s">
        <v>2</v>
      </c>
      <c r="AL470" s="72" t="s">
        <v>3894</v>
      </c>
      <c r="AM470" s="54" t="s">
        <v>4179</v>
      </c>
      <c r="AN470" s="34" t="s">
        <v>1650</v>
      </c>
    </row>
    <row r="471" spans="2:40" x14ac:dyDescent="0.3">
      <c r="B471" s="18" t="s">
        <v>3167</v>
      </c>
      <c r="C471" s="47" t="s">
        <v>3714</v>
      </c>
      <c r="D471" s="15" t="s">
        <v>1241</v>
      </c>
      <c r="E471" s="68" t="s">
        <v>2</v>
      </c>
      <c r="F471" s="55" t="s">
        <v>2</v>
      </c>
      <c r="G471" s="40" t="s">
        <v>2745</v>
      </c>
      <c r="H471" s="71" t="s">
        <v>3894</v>
      </c>
      <c r="I471" s="67" t="s">
        <v>3408</v>
      </c>
      <c r="J471" s="73" t="s">
        <v>270</v>
      </c>
      <c r="K471" s="4">
        <v>3991080</v>
      </c>
      <c r="L471" s="41">
        <v>84.085999999999999</v>
      </c>
      <c r="M471" s="4">
        <v>3363440</v>
      </c>
      <c r="N471" s="4">
        <v>4000000</v>
      </c>
      <c r="O471" s="4">
        <v>3992633</v>
      </c>
      <c r="P471" s="4">
        <v>0</v>
      </c>
      <c r="Q471" s="4">
        <v>1217</v>
      </c>
      <c r="R471" s="4">
        <v>0</v>
      </c>
      <c r="S471" s="4">
        <v>0</v>
      </c>
      <c r="T471" s="23">
        <v>1.7</v>
      </c>
      <c r="U471" s="23">
        <v>1.734</v>
      </c>
      <c r="V471" s="5" t="s">
        <v>10</v>
      </c>
      <c r="W471" s="4">
        <v>20022</v>
      </c>
      <c r="X471" s="4">
        <v>67056</v>
      </c>
      <c r="Y471" s="14">
        <v>44452</v>
      </c>
      <c r="Z471" s="14">
        <v>47011</v>
      </c>
      <c r="AA471" s="2"/>
      <c r="AB471" s="69" t="s">
        <v>3892</v>
      </c>
      <c r="AC471" s="5" t="s">
        <v>4178</v>
      </c>
      <c r="AD471" s="2"/>
      <c r="AE471" s="9">
        <v>46949</v>
      </c>
      <c r="AF471" s="23">
        <v>100</v>
      </c>
      <c r="AG471" s="6"/>
      <c r="AH471" s="5" t="s">
        <v>2027</v>
      </c>
      <c r="AI471" s="5" t="s">
        <v>1241</v>
      </c>
      <c r="AJ471" s="5" t="s">
        <v>2</v>
      </c>
      <c r="AK471" s="21" t="s">
        <v>2</v>
      </c>
      <c r="AL471" s="72" t="s">
        <v>3894</v>
      </c>
      <c r="AM471" s="54" t="s">
        <v>4179</v>
      </c>
      <c r="AN471" s="34" t="s">
        <v>1650</v>
      </c>
    </row>
    <row r="472" spans="2:40" x14ac:dyDescent="0.3">
      <c r="B472" s="18" t="s">
        <v>4303</v>
      </c>
      <c r="C472" s="47" t="s">
        <v>577</v>
      </c>
      <c r="D472" s="15" t="s">
        <v>1241</v>
      </c>
      <c r="E472" s="68" t="s">
        <v>2</v>
      </c>
      <c r="F472" s="55" t="s">
        <v>2</v>
      </c>
      <c r="G472" s="40" t="s">
        <v>2745</v>
      </c>
      <c r="H472" s="71" t="s">
        <v>3894</v>
      </c>
      <c r="I472" s="67" t="s">
        <v>3408</v>
      </c>
      <c r="J472" s="73" t="s">
        <v>270</v>
      </c>
      <c r="K472" s="4">
        <v>4676537</v>
      </c>
      <c r="L472" s="41">
        <v>94.108000000000004</v>
      </c>
      <c r="M472" s="4">
        <v>4404254</v>
      </c>
      <c r="N472" s="4">
        <v>4680000</v>
      </c>
      <c r="O472" s="4">
        <v>4677054</v>
      </c>
      <c r="P472" s="4">
        <v>0</v>
      </c>
      <c r="Q472" s="4">
        <v>517</v>
      </c>
      <c r="R472" s="4">
        <v>0</v>
      </c>
      <c r="S472" s="4">
        <v>0</v>
      </c>
      <c r="T472" s="23">
        <v>3.35</v>
      </c>
      <c r="U472" s="23">
        <v>3.3660000000000001</v>
      </c>
      <c r="V472" s="5" t="s">
        <v>3895</v>
      </c>
      <c r="W472" s="4">
        <v>39195</v>
      </c>
      <c r="X472" s="4">
        <v>81439</v>
      </c>
      <c r="Y472" s="14">
        <v>44642</v>
      </c>
      <c r="Z472" s="14">
        <v>46478</v>
      </c>
      <c r="AA472" s="2"/>
      <c r="AB472" s="69" t="s">
        <v>3892</v>
      </c>
      <c r="AC472" s="5" t="s">
        <v>4178</v>
      </c>
      <c r="AD472" s="2"/>
      <c r="AE472" s="9">
        <v>46447</v>
      </c>
      <c r="AF472" s="23">
        <v>100</v>
      </c>
      <c r="AG472" s="6"/>
      <c r="AH472" s="5" t="s">
        <v>2027</v>
      </c>
      <c r="AI472" s="5" t="s">
        <v>1241</v>
      </c>
      <c r="AJ472" s="5" t="s">
        <v>2</v>
      </c>
      <c r="AK472" s="21" t="s">
        <v>2</v>
      </c>
      <c r="AL472" s="72" t="s">
        <v>3894</v>
      </c>
      <c r="AM472" s="54" t="s">
        <v>4179</v>
      </c>
      <c r="AN472" s="34" t="s">
        <v>1650</v>
      </c>
    </row>
    <row r="473" spans="2:40" x14ac:dyDescent="0.3">
      <c r="B473" s="18" t="s">
        <v>1242</v>
      </c>
      <c r="C473" s="47" t="s">
        <v>1721</v>
      </c>
      <c r="D473" s="15" t="s">
        <v>1241</v>
      </c>
      <c r="E473" s="68" t="s">
        <v>2</v>
      </c>
      <c r="F473" s="55" t="s">
        <v>2</v>
      </c>
      <c r="G473" s="40" t="s">
        <v>2745</v>
      </c>
      <c r="H473" s="71" t="s">
        <v>3894</v>
      </c>
      <c r="I473" s="67" t="s">
        <v>3408</v>
      </c>
      <c r="J473" s="73" t="s">
        <v>270</v>
      </c>
      <c r="K473" s="4">
        <v>2493700</v>
      </c>
      <c r="L473" s="41">
        <v>98.263000000000005</v>
      </c>
      <c r="M473" s="4">
        <v>2456575</v>
      </c>
      <c r="N473" s="4">
        <v>2500000</v>
      </c>
      <c r="O473" s="4">
        <v>2493892</v>
      </c>
      <c r="P473" s="4">
        <v>0</v>
      </c>
      <c r="Q473" s="4">
        <v>192</v>
      </c>
      <c r="R473" s="4">
        <v>0</v>
      </c>
      <c r="S473" s="4">
        <v>0</v>
      </c>
      <c r="T473" s="23">
        <v>5</v>
      </c>
      <c r="U473" s="23">
        <v>5.03</v>
      </c>
      <c r="V473" s="5" t="s">
        <v>3895</v>
      </c>
      <c r="W473" s="4">
        <v>39236</v>
      </c>
      <c r="X473" s="4">
        <v>0</v>
      </c>
      <c r="Y473" s="14">
        <v>44810</v>
      </c>
      <c r="Z473" s="14">
        <v>48684</v>
      </c>
      <c r="AA473" s="2"/>
      <c r="AB473" s="69" t="s">
        <v>3892</v>
      </c>
      <c r="AC473" s="5" t="s">
        <v>4178</v>
      </c>
      <c r="AD473" s="2"/>
      <c r="AE473" s="9">
        <v>48594</v>
      </c>
      <c r="AF473" s="23">
        <v>100</v>
      </c>
      <c r="AG473" s="6"/>
      <c r="AH473" s="5" t="s">
        <v>2027</v>
      </c>
      <c r="AI473" s="5" t="s">
        <v>1241</v>
      </c>
      <c r="AJ473" s="5" t="s">
        <v>2</v>
      </c>
      <c r="AK473" s="21" t="s">
        <v>2</v>
      </c>
      <c r="AL473" s="72" t="s">
        <v>3894</v>
      </c>
      <c r="AM473" s="54" t="s">
        <v>4179</v>
      </c>
      <c r="AN473" s="34" t="s">
        <v>1650</v>
      </c>
    </row>
    <row r="474" spans="2:40" x14ac:dyDescent="0.3">
      <c r="B474" s="18" t="s">
        <v>2371</v>
      </c>
      <c r="C474" s="47" t="s">
        <v>2372</v>
      </c>
      <c r="D474" s="15" t="s">
        <v>911</v>
      </c>
      <c r="E474" s="68" t="s">
        <v>2</v>
      </c>
      <c r="F474" s="55" t="s">
        <v>2</v>
      </c>
      <c r="G474" s="40" t="s">
        <v>3894</v>
      </c>
      <c r="H474" s="71" t="s">
        <v>2745</v>
      </c>
      <c r="I474" s="67" t="s">
        <v>1414</v>
      </c>
      <c r="J474" s="73" t="s">
        <v>270</v>
      </c>
      <c r="K474" s="4">
        <v>3096060</v>
      </c>
      <c r="L474" s="41">
        <v>99.146000000000001</v>
      </c>
      <c r="M474" s="4">
        <v>2974380</v>
      </c>
      <c r="N474" s="4">
        <v>3000000</v>
      </c>
      <c r="O474" s="4">
        <v>3011612</v>
      </c>
      <c r="P474" s="4">
        <v>0</v>
      </c>
      <c r="Q474" s="4">
        <v>-23327</v>
      </c>
      <c r="R474" s="4">
        <v>0</v>
      </c>
      <c r="S474" s="4">
        <v>0</v>
      </c>
      <c r="T474" s="23">
        <v>3.55</v>
      </c>
      <c r="U474" s="23">
        <v>2.746</v>
      </c>
      <c r="V474" s="5" t="s">
        <v>1916</v>
      </c>
      <c r="W474" s="4">
        <v>45854</v>
      </c>
      <c r="X474" s="4">
        <v>106500</v>
      </c>
      <c r="Y474" s="14">
        <v>43551</v>
      </c>
      <c r="Z474" s="14">
        <v>45133</v>
      </c>
      <c r="AA474" s="2"/>
      <c r="AB474" s="69" t="s">
        <v>3892</v>
      </c>
      <c r="AC474" s="5" t="s">
        <v>4178</v>
      </c>
      <c r="AD474" s="2"/>
      <c r="AE474" s="14">
        <v>45103</v>
      </c>
      <c r="AF474" s="23">
        <v>100</v>
      </c>
      <c r="AG474" s="9">
        <v>45103</v>
      </c>
      <c r="AH474" s="5" t="s">
        <v>2</v>
      </c>
      <c r="AI474" s="5" t="s">
        <v>2837</v>
      </c>
      <c r="AJ474" s="5" t="s">
        <v>2837</v>
      </c>
      <c r="AK474" s="21" t="s">
        <v>2</v>
      </c>
      <c r="AL474" s="72" t="s">
        <v>3894</v>
      </c>
      <c r="AM474" s="54" t="s">
        <v>4179</v>
      </c>
      <c r="AN474" s="34" t="s">
        <v>512</v>
      </c>
    </row>
    <row r="475" spans="2:40" x14ac:dyDescent="0.3">
      <c r="B475" s="18" t="s">
        <v>3487</v>
      </c>
      <c r="C475" s="47" t="s">
        <v>912</v>
      </c>
      <c r="D475" s="15" t="s">
        <v>339</v>
      </c>
      <c r="E475" s="68" t="s">
        <v>2</v>
      </c>
      <c r="F475" s="55" t="s">
        <v>2</v>
      </c>
      <c r="G475" s="40" t="s">
        <v>2745</v>
      </c>
      <c r="H475" s="71" t="s">
        <v>3894</v>
      </c>
      <c r="I475" s="67" t="s">
        <v>8</v>
      </c>
      <c r="J475" s="73" t="s">
        <v>270</v>
      </c>
      <c r="K475" s="4">
        <v>6107420</v>
      </c>
      <c r="L475" s="41">
        <v>96.977999999999994</v>
      </c>
      <c r="M475" s="4">
        <v>5818680</v>
      </c>
      <c r="N475" s="4">
        <v>6000000</v>
      </c>
      <c r="O475" s="4">
        <v>6032373</v>
      </c>
      <c r="P475" s="4">
        <v>0</v>
      </c>
      <c r="Q475" s="4">
        <v>-16273</v>
      </c>
      <c r="R475" s="4">
        <v>0</v>
      </c>
      <c r="S475" s="4">
        <v>0</v>
      </c>
      <c r="T475" s="23">
        <v>4</v>
      </c>
      <c r="U475" s="23">
        <v>3.7010000000000001</v>
      </c>
      <c r="V475" s="5" t="s">
        <v>268</v>
      </c>
      <c r="W475" s="4">
        <v>90667</v>
      </c>
      <c r="X475" s="4">
        <v>240000</v>
      </c>
      <c r="Y475" s="14">
        <v>43553</v>
      </c>
      <c r="Z475" s="14">
        <v>45703</v>
      </c>
      <c r="AA475" s="2"/>
      <c r="AB475" s="69" t="s">
        <v>3892</v>
      </c>
      <c r="AC475" s="5" t="s">
        <v>4178</v>
      </c>
      <c r="AD475" s="2"/>
      <c r="AE475" s="9">
        <v>45611</v>
      </c>
      <c r="AF475" s="23">
        <v>100</v>
      </c>
      <c r="AG475" s="9">
        <v>45611</v>
      </c>
      <c r="AH475" s="5" t="s">
        <v>1722</v>
      </c>
      <c r="AI475" s="5" t="s">
        <v>339</v>
      </c>
      <c r="AJ475" s="5" t="s">
        <v>2</v>
      </c>
      <c r="AK475" s="21" t="s">
        <v>2</v>
      </c>
      <c r="AL475" s="72" t="s">
        <v>3894</v>
      </c>
      <c r="AM475" s="54" t="s">
        <v>4179</v>
      </c>
      <c r="AN475" s="34" t="s">
        <v>1189</v>
      </c>
    </row>
    <row r="476" spans="2:40" x14ac:dyDescent="0.3">
      <c r="B476" s="18" t="s">
        <v>913</v>
      </c>
      <c r="C476" s="47" t="s">
        <v>3971</v>
      </c>
      <c r="D476" s="15" t="s">
        <v>339</v>
      </c>
      <c r="E476" s="68" t="s">
        <v>2</v>
      </c>
      <c r="F476" s="55" t="s">
        <v>2</v>
      </c>
      <c r="G476" s="40" t="s">
        <v>2745</v>
      </c>
      <c r="H476" s="71" t="s">
        <v>3894</v>
      </c>
      <c r="I476" s="67" t="s">
        <v>8</v>
      </c>
      <c r="J476" s="73" t="s">
        <v>270</v>
      </c>
      <c r="K476" s="4">
        <v>5717398</v>
      </c>
      <c r="L476" s="41">
        <v>94.063000000000002</v>
      </c>
      <c r="M476" s="4">
        <v>5408623</v>
      </c>
      <c r="N476" s="4">
        <v>5750000</v>
      </c>
      <c r="O476" s="4">
        <v>5718472</v>
      </c>
      <c r="P476" s="4">
        <v>0</v>
      </c>
      <c r="Q476" s="4">
        <v>1075</v>
      </c>
      <c r="R476" s="4">
        <v>0</v>
      </c>
      <c r="S476" s="4">
        <v>0</v>
      </c>
      <c r="T476" s="23">
        <v>4.95</v>
      </c>
      <c r="U476" s="23">
        <v>5.0220000000000002</v>
      </c>
      <c r="V476" s="5" t="s">
        <v>10</v>
      </c>
      <c r="W476" s="4">
        <v>110688</v>
      </c>
      <c r="X476" s="4">
        <v>0</v>
      </c>
      <c r="Y476" s="14">
        <v>44781</v>
      </c>
      <c r="Z476" s="14">
        <v>48458</v>
      </c>
      <c r="AA476" s="2"/>
      <c r="AB476" s="69" t="s">
        <v>3892</v>
      </c>
      <c r="AC476" s="5" t="s">
        <v>4178</v>
      </c>
      <c r="AD476" s="2"/>
      <c r="AE476" s="9">
        <v>48366</v>
      </c>
      <c r="AF476" s="23">
        <v>100</v>
      </c>
      <c r="AG476" s="6"/>
      <c r="AH476" s="5" t="s">
        <v>1722</v>
      </c>
      <c r="AI476" s="5" t="s">
        <v>339</v>
      </c>
      <c r="AJ476" s="5" t="s">
        <v>2</v>
      </c>
      <c r="AK476" s="21" t="s">
        <v>2</v>
      </c>
      <c r="AL476" s="72" t="s">
        <v>3894</v>
      </c>
      <c r="AM476" s="54" t="s">
        <v>4179</v>
      </c>
      <c r="AN476" s="34" t="s">
        <v>1189</v>
      </c>
    </row>
    <row r="477" spans="2:40" x14ac:dyDescent="0.3">
      <c r="B477" s="18" t="s">
        <v>2028</v>
      </c>
      <c r="C477" s="47" t="s">
        <v>1243</v>
      </c>
      <c r="D477" s="15" t="s">
        <v>340</v>
      </c>
      <c r="E477" s="68" t="s">
        <v>2</v>
      </c>
      <c r="F477" s="55" t="s">
        <v>2</v>
      </c>
      <c r="G477" s="40" t="s">
        <v>2745</v>
      </c>
      <c r="H477" s="71" t="s">
        <v>3894</v>
      </c>
      <c r="I477" s="67" t="s">
        <v>1164</v>
      </c>
      <c r="J477" s="73" t="s">
        <v>270</v>
      </c>
      <c r="K477" s="4">
        <v>11623600</v>
      </c>
      <c r="L477" s="41">
        <v>86.823999999999998</v>
      </c>
      <c r="M477" s="4">
        <v>10418880</v>
      </c>
      <c r="N477" s="4">
        <v>12000000</v>
      </c>
      <c r="O477" s="4">
        <v>11648577</v>
      </c>
      <c r="P477" s="4">
        <v>0</v>
      </c>
      <c r="Q477" s="4">
        <v>24977</v>
      </c>
      <c r="R477" s="4">
        <v>0</v>
      </c>
      <c r="S477" s="4">
        <v>0</v>
      </c>
      <c r="T477" s="23">
        <v>4.0540000000000003</v>
      </c>
      <c r="U477" s="23">
        <v>4.5960000000000001</v>
      </c>
      <c r="V477" s="5" t="s">
        <v>10</v>
      </c>
      <c r="W477" s="4">
        <v>143241</v>
      </c>
      <c r="X477" s="4">
        <v>243240</v>
      </c>
      <c r="Y477" s="14">
        <v>44769</v>
      </c>
      <c r="Z477" s="14">
        <v>47192</v>
      </c>
      <c r="AA477" s="2"/>
      <c r="AB477" s="69" t="s">
        <v>3892</v>
      </c>
      <c r="AC477" s="5" t="s">
        <v>4178</v>
      </c>
      <c r="AD477" s="2"/>
      <c r="AE477" s="14">
        <v>47133</v>
      </c>
      <c r="AF477" s="23">
        <v>100</v>
      </c>
      <c r="AG477" s="6"/>
      <c r="AH477" s="5" t="s">
        <v>2</v>
      </c>
      <c r="AI477" s="5" t="s">
        <v>3168</v>
      </c>
      <c r="AJ477" s="5" t="s">
        <v>824</v>
      </c>
      <c r="AK477" s="21" t="s">
        <v>2</v>
      </c>
      <c r="AL477" s="72" t="s">
        <v>3894</v>
      </c>
      <c r="AM477" s="54" t="s">
        <v>4179</v>
      </c>
      <c r="AN477" s="34" t="s">
        <v>828</v>
      </c>
    </row>
    <row r="478" spans="2:40" x14ac:dyDescent="0.3">
      <c r="B478" s="18" t="s">
        <v>3169</v>
      </c>
      <c r="C478" s="47" t="s">
        <v>4304</v>
      </c>
      <c r="D478" s="15" t="s">
        <v>2029</v>
      </c>
      <c r="E478" s="68" t="s">
        <v>2</v>
      </c>
      <c r="F478" s="55" t="s">
        <v>2</v>
      </c>
      <c r="G478" s="40" t="s">
        <v>2</v>
      </c>
      <c r="H478" s="71" t="s">
        <v>825</v>
      </c>
      <c r="I478" s="67" t="s">
        <v>3408</v>
      </c>
      <c r="J478" s="73" t="s">
        <v>2312</v>
      </c>
      <c r="K478" s="4">
        <v>3425604</v>
      </c>
      <c r="L478" s="41">
        <v>94.21</v>
      </c>
      <c r="M478" s="4">
        <v>3227262</v>
      </c>
      <c r="N478" s="4">
        <v>3425604</v>
      </c>
      <c r="O478" s="4">
        <v>3227262</v>
      </c>
      <c r="P478" s="4">
        <v>-112017</v>
      </c>
      <c r="Q478" s="4">
        <v>0</v>
      </c>
      <c r="R478" s="4">
        <v>0</v>
      </c>
      <c r="S478" s="4">
        <v>0</v>
      </c>
      <c r="T478" s="23">
        <v>4.5599999999999996</v>
      </c>
      <c r="U478" s="23">
        <v>4.5620000000000003</v>
      </c>
      <c r="V478" s="5" t="s">
        <v>1916</v>
      </c>
      <c r="W478" s="4">
        <v>76368</v>
      </c>
      <c r="X478" s="4">
        <v>156208</v>
      </c>
      <c r="Y478" s="14">
        <v>43371</v>
      </c>
      <c r="Z478" s="14">
        <v>45930</v>
      </c>
      <c r="AA478" s="2"/>
      <c r="AB478" s="69" t="s">
        <v>578</v>
      </c>
      <c r="AC478" s="5" t="s">
        <v>3488</v>
      </c>
      <c r="AD478" s="2"/>
      <c r="AE478" s="6"/>
      <c r="AF478" s="23"/>
      <c r="AG478" s="6"/>
      <c r="AH478" s="5" t="s">
        <v>2</v>
      </c>
      <c r="AI478" s="5" t="s">
        <v>1723</v>
      </c>
      <c r="AJ478" s="5" t="s">
        <v>1723</v>
      </c>
      <c r="AK478" s="21" t="s">
        <v>2</v>
      </c>
      <c r="AL478" s="72" t="s">
        <v>3894</v>
      </c>
      <c r="AM478" s="54" t="s">
        <v>4179</v>
      </c>
      <c r="AN478" s="34" t="s">
        <v>2591</v>
      </c>
    </row>
    <row r="479" spans="2:40" x14ac:dyDescent="0.3">
      <c r="B479" s="18" t="s">
        <v>4305</v>
      </c>
      <c r="C479" s="47" t="s">
        <v>2592</v>
      </c>
      <c r="D479" s="15" t="s">
        <v>1244</v>
      </c>
      <c r="E479" s="68" t="s">
        <v>2</v>
      </c>
      <c r="F479" s="55" t="s">
        <v>2</v>
      </c>
      <c r="G479" s="40" t="s">
        <v>2745</v>
      </c>
      <c r="H479" s="71" t="s">
        <v>3894</v>
      </c>
      <c r="I479" s="67" t="s">
        <v>3408</v>
      </c>
      <c r="J479" s="73" t="s">
        <v>270</v>
      </c>
      <c r="K479" s="4">
        <v>4997250</v>
      </c>
      <c r="L479" s="41">
        <v>98.638999999999996</v>
      </c>
      <c r="M479" s="4">
        <v>4931950</v>
      </c>
      <c r="N479" s="4">
        <v>5000000</v>
      </c>
      <c r="O479" s="4">
        <v>4999411</v>
      </c>
      <c r="P479" s="4">
        <v>0</v>
      </c>
      <c r="Q479" s="4">
        <v>469</v>
      </c>
      <c r="R479" s="4">
        <v>0</v>
      </c>
      <c r="S479" s="4">
        <v>0</v>
      </c>
      <c r="T479" s="23">
        <v>3.875</v>
      </c>
      <c r="U479" s="23">
        <v>3.8849999999999998</v>
      </c>
      <c r="V479" s="5" t="s">
        <v>10</v>
      </c>
      <c r="W479" s="4">
        <v>57049</v>
      </c>
      <c r="X479" s="4">
        <v>193750</v>
      </c>
      <c r="Y479" s="14">
        <v>43474</v>
      </c>
      <c r="Z479" s="14">
        <v>45366</v>
      </c>
      <c r="AA479" s="2"/>
      <c r="AB479" s="69" t="s">
        <v>3892</v>
      </c>
      <c r="AC479" s="5" t="s">
        <v>4178</v>
      </c>
      <c r="AD479" s="2"/>
      <c r="AE479" s="9">
        <v>45337</v>
      </c>
      <c r="AF479" s="23">
        <v>100</v>
      </c>
      <c r="AG479" s="6"/>
      <c r="AH479" s="5" t="s">
        <v>1724</v>
      </c>
      <c r="AI479" s="5" t="s">
        <v>1244</v>
      </c>
      <c r="AJ479" s="5" t="s">
        <v>2</v>
      </c>
      <c r="AK479" s="21" t="s">
        <v>2</v>
      </c>
      <c r="AL479" s="72" t="s">
        <v>3894</v>
      </c>
      <c r="AM479" s="54" t="s">
        <v>4179</v>
      </c>
      <c r="AN479" s="34" t="s">
        <v>1650</v>
      </c>
    </row>
    <row r="480" spans="2:40" x14ac:dyDescent="0.3">
      <c r="B480" s="18" t="s">
        <v>914</v>
      </c>
      <c r="C480" s="47" t="s">
        <v>2838</v>
      </c>
      <c r="D480" s="15" t="s">
        <v>1725</v>
      </c>
      <c r="E480" s="68" t="s">
        <v>2</v>
      </c>
      <c r="F480" s="55" t="s">
        <v>2</v>
      </c>
      <c r="G480" s="40" t="s">
        <v>2745</v>
      </c>
      <c r="H480" s="71" t="s">
        <v>3894</v>
      </c>
      <c r="I480" s="67" t="s">
        <v>8</v>
      </c>
      <c r="J480" s="73" t="s">
        <v>270</v>
      </c>
      <c r="K480" s="4">
        <v>4997100</v>
      </c>
      <c r="L480" s="41">
        <v>93.177999999999997</v>
      </c>
      <c r="M480" s="4">
        <v>4658900</v>
      </c>
      <c r="N480" s="4">
        <v>5000000</v>
      </c>
      <c r="O480" s="4">
        <v>4998368</v>
      </c>
      <c r="P480" s="4">
        <v>0</v>
      </c>
      <c r="Q480" s="4">
        <v>337</v>
      </c>
      <c r="R480" s="4">
        <v>0</v>
      </c>
      <c r="S480" s="4">
        <v>0</v>
      </c>
      <c r="T480" s="23">
        <v>3.45</v>
      </c>
      <c r="U480" s="23">
        <v>3.4580000000000002</v>
      </c>
      <c r="V480" s="5" t="s">
        <v>3898</v>
      </c>
      <c r="W480" s="4">
        <v>14375</v>
      </c>
      <c r="X480" s="4">
        <v>172500</v>
      </c>
      <c r="Y480" s="14">
        <v>43676</v>
      </c>
      <c r="Z480" s="14">
        <v>46539</v>
      </c>
      <c r="AA480" s="2"/>
      <c r="AB480" s="69" t="s">
        <v>3892</v>
      </c>
      <c r="AC480" s="5" t="s">
        <v>4178</v>
      </c>
      <c r="AD480" s="2"/>
      <c r="AE480" s="9">
        <v>46447</v>
      </c>
      <c r="AF480" s="23">
        <v>100</v>
      </c>
      <c r="AG480" s="6"/>
      <c r="AH480" s="5" t="s">
        <v>2</v>
      </c>
      <c r="AI480" s="5" t="s">
        <v>1725</v>
      </c>
      <c r="AJ480" s="5" t="s">
        <v>2</v>
      </c>
      <c r="AK480" s="21" t="s">
        <v>2</v>
      </c>
      <c r="AL480" s="72" t="s">
        <v>3894</v>
      </c>
      <c r="AM480" s="54" t="s">
        <v>4179</v>
      </c>
      <c r="AN480" s="34" t="s">
        <v>1189</v>
      </c>
    </row>
    <row r="481" spans="2:40" x14ac:dyDescent="0.3">
      <c r="B481" s="18" t="s">
        <v>2373</v>
      </c>
      <c r="C481" s="47" t="s">
        <v>4306</v>
      </c>
      <c r="D481" s="15" t="s">
        <v>3715</v>
      </c>
      <c r="E481" s="68" t="s">
        <v>2</v>
      </c>
      <c r="F481" s="55" t="s">
        <v>2</v>
      </c>
      <c r="G481" s="40" t="s">
        <v>2</v>
      </c>
      <c r="H481" s="71" t="s">
        <v>2745</v>
      </c>
      <c r="I481" s="67" t="s">
        <v>8</v>
      </c>
      <c r="J481" s="73" t="s">
        <v>270</v>
      </c>
      <c r="K481" s="4">
        <v>4998400</v>
      </c>
      <c r="L481" s="41">
        <v>96.587000000000003</v>
      </c>
      <c r="M481" s="4">
        <v>4829350</v>
      </c>
      <c r="N481" s="4">
        <v>5000000</v>
      </c>
      <c r="O481" s="4">
        <v>4999637</v>
      </c>
      <c r="P481" s="4">
        <v>0</v>
      </c>
      <c r="Q481" s="4">
        <v>238</v>
      </c>
      <c r="R481" s="4">
        <v>0</v>
      </c>
      <c r="S481" s="4">
        <v>0</v>
      </c>
      <c r="T481" s="23">
        <v>2.75</v>
      </c>
      <c r="U481" s="23">
        <v>2.7549999999999999</v>
      </c>
      <c r="V481" s="5" t="s">
        <v>3898</v>
      </c>
      <c r="W481" s="4">
        <v>3438</v>
      </c>
      <c r="X481" s="4">
        <v>137500</v>
      </c>
      <c r="Y481" s="14">
        <v>42905</v>
      </c>
      <c r="Z481" s="14">
        <v>45465</v>
      </c>
      <c r="AA481" s="2"/>
      <c r="AB481" s="69" t="s">
        <v>3892</v>
      </c>
      <c r="AC481" s="5" t="s">
        <v>4178</v>
      </c>
      <c r="AD481" s="2"/>
      <c r="AE481" s="6"/>
      <c r="AF481" s="23"/>
      <c r="AG481" s="6"/>
      <c r="AH481" s="5" t="s">
        <v>915</v>
      </c>
      <c r="AI481" s="5" t="s">
        <v>3715</v>
      </c>
      <c r="AJ481" s="5" t="s">
        <v>2</v>
      </c>
      <c r="AK481" s="21" t="s">
        <v>2</v>
      </c>
      <c r="AL481" s="72" t="s">
        <v>2745</v>
      </c>
      <c r="AM481" s="54" t="s">
        <v>4179</v>
      </c>
      <c r="AN481" s="34" t="s">
        <v>1923</v>
      </c>
    </row>
    <row r="482" spans="2:40" x14ac:dyDescent="0.3">
      <c r="B482" s="18" t="s">
        <v>3489</v>
      </c>
      <c r="C482" s="47" t="s">
        <v>3170</v>
      </c>
      <c r="D482" s="15" t="s">
        <v>2374</v>
      </c>
      <c r="E482" s="68" t="s">
        <v>2</v>
      </c>
      <c r="F482" s="55" t="s">
        <v>2</v>
      </c>
      <c r="G482" s="40" t="s">
        <v>2</v>
      </c>
      <c r="H482" s="71" t="s">
        <v>2745</v>
      </c>
      <c r="I482" s="67" t="s">
        <v>8</v>
      </c>
      <c r="J482" s="73" t="s">
        <v>270</v>
      </c>
      <c r="K482" s="4">
        <v>6626970</v>
      </c>
      <c r="L482" s="41">
        <v>96.091999999999999</v>
      </c>
      <c r="M482" s="4">
        <v>6726440</v>
      </c>
      <c r="N482" s="4">
        <v>7000000</v>
      </c>
      <c r="O482" s="4">
        <v>6866877</v>
      </c>
      <c r="P482" s="4">
        <v>0</v>
      </c>
      <c r="Q482" s="4">
        <v>61885</v>
      </c>
      <c r="R482" s="4">
        <v>0</v>
      </c>
      <c r="S482" s="4">
        <v>0</v>
      </c>
      <c r="T482" s="23">
        <v>2.95</v>
      </c>
      <c r="U482" s="23">
        <v>3.9350000000000001</v>
      </c>
      <c r="V482" s="5" t="s">
        <v>1916</v>
      </c>
      <c r="W482" s="4">
        <v>97514</v>
      </c>
      <c r="X482" s="4">
        <v>206500</v>
      </c>
      <c r="Y482" s="14">
        <v>43423</v>
      </c>
      <c r="Z482" s="14">
        <v>45668</v>
      </c>
      <c r="AA482" s="2"/>
      <c r="AB482" s="69" t="s">
        <v>3892</v>
      </c>
      <c r="AC482" s="5" t="s">
        <v>4178</v>
      </c>
      <c r="AD482" s="2"/>
      <c r="AE482" s="6"/>
      <c r="AF482" s="23"/>
      <c r="AG482" s="6"/>
      <c r="AH482" s="5" t="s">
        <v>915</v>
      </c>
      <c r="AI482" s="5" t="s">
        <v>3715</v>
      </c>
      <c r="AJ482" s="5" t="s">
        <v>824</v>
      </c>
      <c r="AK482" s="21" t="s">
        <v>2</v>
      </c>
      <c r="AL482" s="72" t="s">
        <v>2745</v>
      </c>
      <c r="AM482" s="54" t="s">
        <v>4179</v>
      </c>
      <c r="AN482" s="34" t="s">
        <v>1923</v>
      </c>
    </row>
    <row r="483" spans="2:40" x14ac:dyDescent="0.3">
      <c r="B483" s="18" t="s">
        <v>88</v>
      </c>
      <c r="C483" s="47" t="s">
        <v>916</v>
      </c>
      <c r="D483" s="15" t="s">
        <v>2374</v>
      </c>
      <c r="E483" s="68" t="s">
        <v>2</v>
      </c>
      <c r="F483" s="55" t="s">
        <v>2</v>
      </c>
      <c r="G483" s="40" t="s">
        <v>2</v>
      </c>
      <c r="H483" s="71" t="s">
        <v>2745</v>
      </c>
      <c r="I483" s="67" t="s">
        <v>8</v>
      </c>
      <c r="J483" s="73" t="s">
        <v>270</v>
      </c>
      <c r="K483" s="4">
        <v>23978897</v>
      </c>
      <c r="L483" s="41">
        <v>90.82</v>
      </c>
      <c r="M483" s="4">
        <v>21351782</v>
      </c>
      <c r="N483" s="4">
        <v>23510000</v>
      </c>
      <c r="O483" s="4">
        <v>23800001</v>
      </c>
      <c r="P483" s="4">
        <v>0</v>
      </c>
      <c r="Q483" s="4">
        <v>-68760</v>
      </c>
      <c r="R483" s="4">
        <v>0</v>
      </c>
      <c r="S483" s="4">
        <v>0</v>
      </c>
      <c r="T483" s="23">
        <v>2.35</v>
      </c>
      <c r="U483" s="23">
        <v>2.0289999999999999</v>
      </c>
      <c r="V483" s="5" t="s">
        <v>1916</v>
      </c>
      <c r="W483" s="4">
        <v>256283</v>
      </c>
      <c r="X483" s="4">
        <v>552485</v>
      </c>
      <c r="Y483" s="14">
        <v>43985</v>
      </c>
      <c r="Z483" s="14">
        <v>46401</v>
      </c>
      <c r="AA483" s="2"/>
      <c r="AB483" s="69" t="s">
        <v>3892</v>
      </c>
      <c r="AC483" s="5" t="s">
        <v>4178</v>
      </c>
      <c r="AD483" s="2"/>
      <c r="AE483" s="6"/>
      <c r="AF483" s="23"/>
      <c r="AG483" s="6"/>
      <c r="AH483" s="5" t="s">
        <v>915</v>
      </c>
      <c r="AI483" s="5" t="s">
        <v>3715</v>
      </c>
      <c r="AJ483" s="5" t="s">
        <v>824</v>
      </c>
      <c r="AK483" s="21" t="s">
        <v>2</v>
      </c>
      <c r="AL483" s="72" t="s">
        <v>2745</v>
      </c>
      <c r="AM483" s="54" t="s">
        <v>4179</v>
      </c>
      <c r="AN483" s="34" t="s">
        <v>1923</v>
      </c>
    </row>
    <row r="484" spans="2:40" x14ac:dyDescent="0.3">
      <c r="B484" s="18" t="s">
        <v>1245</v>
      </c>
      <c r="C484" s="47" t="s">
        <v>3972</v>
      </c>
      <c r="D484" s="15" t="s">
        <v>1474</v>
      </c>
      <c r="E484" s="68" t="s">
        <v>2</v>
      </c>
      <c r="F484" s="55" t="s">
        <v>2</v>
      </c>
      <c r="G484" s="40" t="s">
        <v>2745</v>
      </c>
      <c r="H484" s="71" t="s">
        <v>2745</v>
      </c>
      <c r="I484" s="67" t="s">
        <v>2274</v>
      </c>
      <c r="J484" s="73" t="s">
        <v>270</v>
      </c>
      <c r="K484" s="4">
        <v>1495815</v>
      </c>
      <c r="L484" s="41">
        <v>95.430999999999997</v>
      </c>
      <c r="M484" s="4">
        <v>1431465</v>
      </c>
      <c r="N484" s="4">
        <v>1500000</v>
      </c>
      <c r="O484" s="4">
        <v>1497353</v>
      </c>
      <c r="P484" s="4">
        <v>0</v>
      </c>
      <c r="Q484" s="4">
        <v>573</v>
      </c>
      <c r="R484" s="4">
        <v>0</v>
      </c>
      <c r="S484" s="4">
        <v>0</v>
      </c>
      <c r="T484" s="23">
        <v>3.3</v>
      </c>
      <c r="U484" s="23">
        <v>3.3450000000000002</v>
      </c>
      <c r="V484" s="5" t="s">
        <v>10</v>
      </c>
      <c r="W484" s="4">
        <v>13063</v>
      </c>
      <c r="X484" s="4">
        <v>49500</v>
      </c>
      <c r="Y484" s="14">
        <v>43914</v>
      </c>
      <c r="Z484" s="14">
        <v>46472</v>
      </c>
      <c r="AA484" s="2"/>
      <c r="AB484" s="69" t="s">
        <v>3892</v>
      </c>
      <c r="AC484" s="5" t="s">
        <v>4178</v>
      </c>
      <c r="AD484" s="2"/>
      <c r="AE484" s="9">
        <v>46413</v>
      </c>
      <c r="AF484" s="23">
        <v>100</v>
      </c>
      <c r="AG484" s="6"/>
      <c r="AH484" s="5" t="s">
        <v>2839</v>
      </c>
      <c r="AI484" s="5" t="s">
        <v>1474</v>
      </c>
      <c r="AJ484" s="5" t="s">
        <v>2</v>
      </c>
      <c r="AK484" s="21" t="s">
        <v>2</v>
      </c>
      <c r="AL484" s="72" t="s">
        <v>3894</v>
      </c>
      <c r="AM484" s="54" t="s">
        <v>4179</v>
      </c>
      <c r="AN484" s="34" t="s">
        <v>1408</v>
      </c>
    </row>
    <row r="485" spans="2:40" x14ac:dyDescent="0.3">
      <c r="B485" s="18" t="s">
        <v>2375</v>
      </c>
      <c r="C485" s="47" t="s">
        <v>3171</v>
      </c>
      <c r="D485" s="15" t="s">
        <v>4307</v>
      </c>
      <c r="E485" s="68" t="s">
        <v>2</v>
      </c>
      <c r="F485" s="55" t="s">
        <v>2</v>
      </c>
      <c r="G485" s="40" t="s">
        <v>2745</v>
      </c>
      <c r="H485" s="71" t="s">
        <v>3894</v>
      </c>
      <c r="I485" s="67" t="s">
        <v>8</v>
      </c>
      <c r="J485" s="73" t="s">
        <v>270</v>
      </c>
      <c r="K485" s="4">
        <v>10828415</v>
      </c>
      <c r="L485" s="41">
        <v>96.739000000000004</v>
      </c>
      <c r="M485" s="4">
        <v>10641290</v>
      </c>
      <c r="N485" s="4">
        <v>11000000</v>
      </c>
      <c r="O485" s="4">
        <v>10947358</v>
      </c>
      <c r="P485" s="4">
        <v>0</v>
      </c>
      <c r="Q485" s="4">
        <v>30353</v>
      </c>
      <c r="R485" s="4">
        <v>0</v>
      </c>
      <c r="S485" s="4">
        <v>0</v>
      </c>
      <c r="T485" s="23">
        <v>3.15</v>
      </c>
      <c r="U485" s="23">
        <v>3.4510000000000001</v>
      </c>
      <c r="V485" s="5" t="s">
        <v>268</v>
      </c>
      <c r="W485" s="4">
        <v>130900</v>
      </c>
      <c r="X485" s="4">
        <v>346500</v>
      </c>
      <c r="Y485" s="14">
        <v>43551</v>
      </c>
      <c r="Z485" s="14">
        <v>45519</v>
      </c>
      <c r="AA485" s="2"/>
      <c r="AB485" s="69" t="s">
        <v>3892</v>
      </c>
      <c r="AC485" s="5" t="s">
        <v>4178</v>
      </c>
      <c r="AD485" s="2"/>
      <c r="AE485" s="14">
        <v>45458</v>
      </c>
      <c r="AF485" s="23">
        <v>100</v>
      </c>
      <c r="AG485" s="9">
        <v>45458</v>
      </c>
      <c r="AH485" s="5" t="s">
        <v>2840</v>
      </c>
      <c r="AI485" s="5" t="s">
        <v>4307</v>
      </c>
      <c r="AJ485" s="5" t="s">
        <v>2</v>
      </c>
      <c r="AK485" s="21" t="s">
        <v>2</v>
      </c>
      <c r="AL485" s="72" t="s">
        <v>3894</v>
      </c>
      <c r="AM485" s="54" t="s">
        <v>4179</v>
      </c>
      <c r="AN485" s="34" t="s">
        <v>1189</v>
      </c>
    </row>
    <row r="486" spans="2:40" x14ac:dyDescent="0.3">
      <c r="B486" s="18" t="s">
        <v>4308</v>
      </c>
      <c r="C486" s="47" t="s">
        <v>3716</v>
      </c>
      <c r="D486" s="15" t="s">
        <v>917</v>
      </c>
      <c r="E486" s="68" t="s">
        <v>2</v>
      </c>
      <c r="F486" s="55" t="s">
        <v>2</v>
      </c>
      <c r="G486" s="40" t="s">
        <v>2745</v>
      </c>
      <c r="H486" s="71" t="s">
        <v>3894</v>
      </c>
      <c r="I486" s="67" t="s">
        <v>3408</v>
      </c>
      <c r="J486" s="73" t="s">
        <v>270</v>
      </c>
      <c r="K486" s="4">
        <v>2998860</v>
      </c>
      <c r="L486" s="41">
        <v>99.6</v>
      </c>
      <c r="M486" s="4">
        <v>2988000</v>
      </c>
      <c r="N486" s="4">
        <v>3000000</v>
      </c>
      <c r="O486" s="4">
        <v>2999941</v>
      </c>
      <c r="P486" s="4">
        <v>0</v>
      </c>
      <c r="Q486" s="4">
        <v>232</v>
      </c>
      <c r="R486" s="4">
        <v>0</v>
      </c>
      <c r="S486" s="4">
        <v>0</v>
      </c>
      <c r="T486" s="23">
        <v>3.35</v>
      </c>
      <c r="U486" s="23">
        <v>3.3580000000000001</v>
      </c>
      <c r="V486" s="5" t="s">
        <v>3895</v>
      </c>
      <c r="W486" s="4">
        <v>25125</v>
      </c>
      <c r="X486" s="4">
        <v>100500</v>
      </c>
      <c r="Y486" s="14">
        <v>43173</v>
      </c>
      <c r="Z486" s="14">
        <v>45017</v>
      </c>
      <c r="AA486" s="2"/>
      <c r="AB486" s="69" t="s">
        <v>3892</v>
      </c>
      <c r="AC486" s="5" t="s">
        <v>4178</v>
      </c>
      <c r="AD486" s="2"/>
      <c r="AE486" s="14">
        <v>44986</v>
      </c>
      <c r="AF486" s="23">
        <v>100</v>
      </c>
      <c r="AG486" s="6"/>
      <c r="AH486" s="5" t="s">
        <v>3172</v>
      </c>
      <c r="AI486" s="5" t="s">
        <v>341</v>
      </c>
      <c r="AJ486" s="5" t="s">
        <v>3973</v>
      </c>
      <c r="AK486" s="21" t="s">
        <v>2</v>
      </c>
      <c r="AL486" s="72" t="s">
        <v>3894</v>
      </c>
      <c r="AM486" s="54" t="s">
        <v>4179</v>
      </c>
      <c r="AN486" s="34" t="s">
        <v>1650</v>
      </c>
    </row>
    <row r="487" spans="2:40" x14ac:dyDescent="0.3">
      <c r="B487" s="18" t="s">
        <v>918</v>
      </c>
      <c r="C487" s="47" t="s">
        <v>3173</v>
      </c>
      <c r="D487" s="15" t="s">
        <v>3974</v>
      </c>
      <c r="E487" s="68" t="s">
        <v>2</v>
      </c>
      <c r="F487" s="55" t="s">
        <v>2</v>
      </c>
      <c r="G487" s="40" t="s">
        <v>2</v>
      </c>
      <c r="H487" s="71" t="s">
        <v>2745</v>
      </c>
      <c r="I487" s="67" t="s">
        <v>3660</v>
      </c>
      <c r="J487" s="73" t="s">
        <v>2312</v>
      </c>
      <c r="K487" s="4">
        <v>6000000</v>
      </c>
      <c r="L487" s="41">
        <v>98.742000000000004</v>
      </c>
      <c r="M487" s="4">
        <v>5924520</v>
      </c>
      <c r="N487" s="4">
        <v>6000000</v>
      </c>
      <c r="O487" s="4">
        <v>6000000</v>
      </c>
      <c r="P487" s="4">
        <v>0</v>
      </c>
      <c r="Q487" s="4">
        <v>0</v>
      </c>
      <c r="R487" s="4">
        <v>0</v>
      </c>
      <c r="S487" s="4">
        <v>0</v>
      </c>
      <c r="T487" s="23">
        <v>2.4</v>
      </c>
      <c r="U487" s="23">
        <v>2.4</v>
      </c>
      <c r="V487" s="5" t="s">
        <v>3898</v>
      </c>
      <c r="W487" s="4">
        <v>8000</v>
      </c>
      <c r="X487" s="4">
        <v>144000</v>
      </c>
      <c r="Y487" s="14">
        <v>43993</v>
      </c>
      <c r="Z487" s="14">
        <v>45088</v>
      </c>
      <c r="AA487" s="2"/>
      <c r="AB487" s="69" t="s">
        <v>2783</v>
      </c>
      <c r="AC487" s="5" t="s">
        <v>2</v>
      </c>
      <c r="AD487" s="2"/>
      <c r="AE487" s="6"/>
      <c r="AF487" s="23"/>
      <c r="AG487" s="6"/>
      <c r="AH487" s="5" t="s">
        <v>4309</v>
      </c>
      <c r="AI487" s="5" t="s">
        <v>3974</v>
      </c>
      <c r="AJ487" s="5" t="s">
        <v>2</v>
      </c>
      <c r="AK487" s="21" t="s">
        <v>2</v>
      </c>
      <c r="AL487" s="72" t="s">
        <v>3894</v>
      </c>
      <c r="AM487" s="54" t="s">
        <v>4179</v>
      </c>
      <c r="AN487" s="34" t="s">
        <v>2841</v>
      </c>
    </row>
    <row r="488" spans="2:40" x14ac:dyDescent="0.3">
      <c r="B488" s="18" t="s">
        <v>2030</v>
      </c>
      <c r="C488" s="47" t="s">
        <v>3174</v>
      </c>
      <c r="D488" s="15" t="s">
        <v>3974</v>
      </c>
      <c r="E488" s="68" t="s">
        <v>2</v>
      </c>
      <c r="F488" s="55" t="s">
        <v>2</v>
      </c>
      <c r="G488" s="40" t="s">
        <v>2</v>
      </c>
      <c r="H488" s="71" t="s">
        <v>2745</v>
      </c>
      <c r="I488" s="67" t="s">
        <v>3660</v>
      </c>
      <c r="J488" s="73" t="s">
        <v>2312</v>
      </c>
      <c r="K488" s="4">
        <v>6000000</v>
      </c>
      <c r="L488" s="41">
        <v>94.602999999999994</v>
      </c>
      <c r="M488" s="4">
        <v>5676180</v>
      </c>
      <c r="N488" s="4">
        <v>6000000</v>
      </c>
      <c r="O488" s="4">
        <v>6000000</v>
      </c>
      <c r="P488" s="4">
        <v>0</v>
      </c>
      <c r="Q488" s="4">
        <v>0</v>
      </c>
      <c r="R488" s="4">
        <v>0</v>
      </c>
      <c r="S488" s="4">
        <v>0</v>
      </c>
      <c r="T488" s="23">
        <v>2.52</v>
      </c>
      <c r="U488" s="23">
        <v>2.52</v>
      </c>
      <c r="V488" s="5" t="s">
        <v>3898</v>
      </c>
      <c r="W488" s="4">
        <v>8400</v>
      </c>
      <c r="X488" s="4">
        <v>151200</v>
      </c>
      <c r="Y488" s="14">
        <v>43993</v>
      </c>
      <c r="Z488" s="14">
        <v>45819</v>
      </c>
      <c r="AA488" s="2"/>
      <c r="AB488" s="69" t="s">
        <v>2783</v>
      </c>
      <c r="AC488" s="5" t="s">
        <v>2</v>
      </c>
      <c r="AD488" s="2"/>
      <c r="AE488" s="10"/>
      <c r="AF488" s="23"/>
      <c r="AG488" s="6"/>
      <c r="AH488" s="5" t="s">
        <v>4309</v>
      </c>
      <c r="AI488" s="5" t="s">
        <v>3974</v>
      </c>
      <c r="AJ488" s="5" t="s">
        <v>2</v>
      </c>
      <c r="AK488" s="21" t="s">
        <v>2</v>
      </c>
      <c r="AL488" s="72" t="s">
        <v>3894</v>
      </c>
      <c r="AM488" s="54" t="s">
        <v>4179</v>
      </c>
      <c r="AN488" s="34" t="s">
        <v>2841</v>
      </c>
    </row>
    <row r="489" spans="2:40" x14ac:dyDescent="0.3">
      <c r="B489" s="18" t="s">
        <v>3175</v>
      </c>
      <c r="C489" s="47" t="s">
        <v>1726</v>
      </c>
      <c r="D489" s="15" t="s">
        <v>3974</v>
      </c>
      <c r="E489" s="68" t="s">
        <v>2</v>
      </c>
      <c r="F489" s="55" t="s">
        <v>2</v>
      </c>
      <c r="G489" s="40" t="s">
        <v>2</v>
      </c>
      <c r="H489" s="71" t="s">
        <v>2745</v>
      </c>
      <c r="I489" s="67" t="s">
        <v>3660</v>
      </c>
      <c r="J489" s="73" t="s">
        <v>2312</v>
      </c>
      <c r="K489" s="4">
        <v>3000000</v>
      </c>
      <c r="L489" s="41">
        <v>91.429000000000002</v>
      </c>
      <c r="M489" s="4">
        <v>2742870</v>
      </c>
      <c r="N489" s="4">
        <v>3000000</v>
      </c>
      <c r="O489" s="4">
        <v>3000000</v>
      </c>
      <c r="P489" s="4">
        <v>0</v>
      </c>
      <c r="Q489" s="4">
        <v>0</v>
      </c>
      <c r="R489" s="4">
        <v>0</v>
      </c>
      <c r="S489" s="4">
        <v>0</v>
      </c>
      <c r="T489" s="23">
        <v>2.7</v>
      </c>
      <c r="U489" s="23">
        <v>2.7</v>
      </c>
      <c r="V489" s="5" t="s">
        <v>3898</v>
      </c>
      <c r="W489" s="4">
        <v>4500</v>
      </c>
      <c r="X489" s="4">
        <v>81000</v>
      </c>
      <c r="Y489" s="14">
        <v>43993</v>
      </c>
      <c r="Z489" s="14">
        <v>46549</v>
      </c>
      <c r="AA489" s="2"/>
      <c r="AB489" s="69" t="s">
        <v>2783</v>
      </c>
      <c r="AC489" s="5" t="s">
        <v>2</v>
      </c>
      <c r="AD489" s="2"/>
      <c r="AE489" s="6"/>
      <c r="AF489" s="23"/>
      <c r="AG489" s="6"/>
      <c r="AH489" s="5" t="s">
        <v>4309</v>
      </c>
      <c r="AI489" s="5" t="s">
        <v>3974</v>
      </c>
      <c r="AJ489" s="5" t="s">
        <v>2</v>
      </c>
      <c r="AK489" s="21" t="s">
        <v>2</v>
      </c>
      <c r="AL489" s="72" t="s">
        <v>3894</v>
      </c>
      <c r="AM489" s="54" t="s">
        <v>4179</v>
      </c>
      <c r="AN489" s="34" t="s">
        <v>2841</v>
      </c>
    </row>
    <row r="490" spans="2:40" x14ac:dyDescent="0.3">
      <c r="B490" s="18" t="s">
        <v>89</v>
      </c>
      <c r="C490" s="47" t="s">
        <v>3717</v>
      </c>
      <c r="D490" s="15" t="s">
        <v>3490</v>
      </c>
      <c r="E490" s="68" t="s">
        <v>2</v>
      </c>
      <c r="F490" s="55" t="s">
        <v>2</v>
      </c>
      <c r="G490" s="40" t="s">
        <v>2</v>
      </c>
      <c r="H490" s="71" t="s">
        <v>2745</v>
      </c>
      <c r="I490" s="67" t="s">
        <v>2274</v>
      </c>
      <c r="J490" s="73" t="s">
        <v>270</v>
      </c>
      <c r="K490" s="4">
        <v>1998360</v>
      </c>
      <c r="L490" s="41">
        <v>98.388000000000005</v>
      </c>
      <c r="M490" s="4">
        <v>1967760</v>
      </c>
      <c r="N490" s="4">
        <v>2000000</v>
      </c>
      <c r="O490" s="4">
        <v>1999639</v>
      </c>
      <c r="P490" s="4">
        <v>0</v>
      </c>
      <c r="Q490" s="4">
        <v>339</v>
      </c>
      <c r="R490" s="4">
        <v>0</v>
      </c>
      <c r="S490" s="4">
        <v>0</v>
      </c>
      <c r="T490" s="23">
        <v>3.6</v>
      </c>
      <c r="U490" s="23">
        <v>3.6179999999999999</v>
      </c>
      <c r="V490" s="5" t="s">
        <v>1916</v>
      </c>
      <c r="W490" s="4">
        <v>34000</v>
      </c>
      <c r="X490" s="4">
        <v>72000</v>
      </c>
      <c r="Y490" s="14">
        <v>43473</v>
      </c>
      <c r="Z490" s="14">
        <v>45302</v>
      </c>
      <c r="AA490" s="2"/>
      <c r="AB490" s="69" t="s">
        <v>3892</v>
      </c>
      <c r="AC490" s="5" t="s">
        <v>4178</v>
      </c>
      <c r="AD490" s="2"/>
      <c r="AE490" s="10"/>
      <c r="AF490" s="23"/>
      <c r="AG490" s="10"/>
      <c r="AH490" s="5" t="s">
        <v>3176</v>
      </c>
      <c r="AI490" s="5" t="s">
        <v>1727</v>
      </c>
      <c r="AJ490" s="5" t="s">
        <v>824</v>
      </c>
      <c r="AK490" s="21" t="s">
        <v>2</v>
      </c>
      <c r="AL490" s="72" t="s">
        <v>2745</v>
      </c>
      <c r="AM490" s="54" t="s">
        <v>4179</v>
      </c>
      <c r="AN490" s="34" t="s">
        <v>1408</v>
      </c>
    </row>
    <row r="491" spans="2:40" x14ac:dyDescent="0.3">
      <c r="B491" s="18" t="s">
        <v>1246</v>
      </c>
      <c r="C491" s="47" t="s">
        <v>3177</v>
      </c>
      <c r="D491" s="15" t="s">
        <v>919</v>
      </c>
      <c r="E491" s="68" t="s">
        <v>2</v>
      </c>
      <c r="F491" s="55" t="s">
        <v>2</v>
      </c>
      <c r="G491" s="40" t="s">
        <v>2745</v>
      </c>
      <c r="H491" s="71" t="s">
        <v>2745</v>
      </c>
      <c r="I491" s="67" t="s">
        <v>3408</v>
      </c>
      <c r="J491" s="73" t="s">
        <v>270</v>
      </c>
      <c r="K491" s="4">
        <v>3858480</v>
      </c>
      <c r="L491" s="41">
        <v>96.248000000000005</v>
      </c>
      <c r="M491" s="4">
        <v>3849920</v>
      </c>
      <c r="N491" s="4">
        <v>4000000</v>
      </c>
      <c r="O491" s="4">
        <v>3951423</v>
      </c>
      <c r="P491" s="4">
        <v>0</v>
      </c>
      <c r="Q491" s="4">
        <v>21844</v>
      </c>
      <c r="R491" s="4">
        <v>0</v>
      </c>
      <c r="S491" s="4">
        <v>0</v>
      </c>
      <c r="T491" s="23">
        <v>2.7</v>
      </c>
      <c r="U491" s="23">
        <v>3.3</v>
      </c>
      <c r="V491" s="5" t="s">
        <v>268</v>
      </c>
      <c r="W491" s="4">
        <v>41700</v>
      </c>
      <c r="X491" s="4">
        <v>108000</v>
      </c>
      <c r="Y491" s="14">
        <v>43278</v>
      </c>
      <c r="Z491" s="14">
        <v>45700</v>
      </c>
      <c r="AA491" s="2"/>
      <c r="AB491" s="69" t="s">
        <v>3892</v>
      </c>
      <c r="AC491" s="5" t="s">
        <v>4178</v>
      </c>
      <c r="AD491" s="2"/>
      <c r="AE491" s="14">
        <v>45608</v>
      </c>
      <c r="AF491" s="23">
        <v>100</v>
      </c>
      <c r="AG491" s="10"/>
      <c r="AH491" s="5" t="s">
        <v>3491</v>
      </c>
      <c r="AI491" s="5" t="s">
        <v>919</v>
      </c>
      <c r="AJ491" s="5" t="s">
        <v>2</v>
      </c>
      <c r="AK491" s="21" t="s">
        <v>2</v>
      </c>
      <c r="AL491" s="72" t="s">
        <v>3894</v>
      </c>
      <c r="AM491" s="54" t="s">
        <v>4179</v>
      </c>
      <c r="AN491" s="34" t="s">
        <v>2278</v>
      </c>
    </row>
    <row r="492" spans="2:40" x14ac:dyDescent="0.3">
      <c r="B492" s="18" t="s">
        <v>2376</v>
      </c>
      <c r="C492" s="47" t="s">
        <v>2377</v>
      </c>
      <c r="D492" s="15" t="s">
        <v>2842</v>
      </c>
      <c r="E492" s="68" t="s">
        <v>2</v>
      </c>
      <c r="F492" s="55" t="s">
        <v>2</v>
      </c>
      <c r="G492" s="40" t="s">
        <v>2745</v>
      </c>
      <c r="H492" s="71" t="s">
        <v>3894</v>
      </c>
      <c r="I492" s="67" t="s">
        <v>1164</v>
      </c>
      <c r="J492" s="73" t="s">
        <v>270</v>
      </c>
      <c r="K492" s="4">
        <v>5000000</v>
      </c>
      <c r="L492" s="41">
        <v>98.587000000000003</v>
      </c>
      <c r="M492" s="4">
        <v>4929350</v>
      </c>
      <c r="N492" s="4">
        <v>5000000</v>
      </c>
      <c r="O492" s="4">
        <v>5000000</v>
      </c>
      <c r="P492" s="4">
        <v>0</v>
      </c>
      <c r="Q492" s="4">
        <v>0</v>
      </c>
      <c r="R492" s="4">
        <v>0</v>
      </c>
      <c r="S492" s="4">
        <v>0</v>
      </c>
      <c r="T492" s="23">
        <v>4.9749999999999996</v>
      </c>
      <c r="U492" s="23">
        <v>4.9720000000000004</v>
      </c>
      <c r="V492" s="5" t="s">
        <v>268</v>
      </c>
      <c r="W492" s="4">
        <v>100191</v>
      </c>
      <c r="X492" s="4">
        <v>248750</v>
      </c>
      <c r="Y492" s="14">
        <v>43500</v>
      </c>
      <c r="Z492" s="14">
        <v>46059</v>
      </c>
      <c r="AA492" s="2"/>
      <c r="AB492" s="69" t="s">
        <v>3892</v>
      </c>
      <c r="AC492" s="5" t="s">
        <v>4178</v>
      </c>
      <c r="AD492" s="2"/>
      <c r="AE492" s="14">
        <v>45997</v>
      </c>
      <c r="AF492" s="23">
        <v>100</v>
      </c>
      <c r="AG492" s="10"/>
      <c r="AH492" s="5" t="s">
        <v>3178</v>
      </c>
      <c r="AI492" s="5" t="s">
        <v>2842</v>
      </c>
      <c r="AJ492" s="5" t="s">
        <v>2</v>
      </c>
      <c r="AK492" s="21" t="s">
        <v>2</v>
      </c>
      <c r="AL492" s="72" t="s">
        <v>3894</v>
      </c>
      <c r="AM492" s="54" t="s">
        <v>4179</v>
      </c>
      <c r="AN492" s="34" t="s">
        <v>828</v>
      </c>
    </row>
    <row r="493" spans="2:40" x14ac:dyDescent="0.3">
      <c r="B493" s="18" t="s">
        <v>3492</v>
      </c>
      <c r="C493" s="47" t="s">
        <v>3718</v>
      </c>
      <c r="D493" s="15" t="s">
        <v>2842</v>
      </c>
      <c r="E493" s="68" t="s">
        <v>2</v>
      </c>
      <c r="F493" s="55" t="s">
        <v>2</v>
      </c>
      <c r="G493" s="40" t="s">
        <v>2745</v>
      </c>
      <c r="H493" s="71" t="s">
        <v>3894</v>
      </c>
      <c r="I493" s="67" t="s">
        <v>1164</v>
      </c>
      <c r="J493" s="73" t="s">
        <v>270</v>
      </c>
      <c r="K493" s="4">
        <v>2999850</v>
      </c>
      <c r="L493" s="41">
        <v>95.135000000000005</v>
      </c>
      <c r="M493" s="4">
        <v>2854050</v>
      </c>
      <c r="N493" s="4">
        <v>3000000</v>
      </c>
      <c r="O493" s="4">
        <v>2999993</v>
      </c>
      <c r="P493" s="4">
        <v>0</v>
      </c>
      <c r="Q493" s="4">
        <v>1</v>
      </c>
      <c r="R493" s="4">
        <v>0</v>
      </c>
      <c r="S493" s="4">
        <v>0</v>
      </c>
      <c r="T493" s="23">
        <v>4.1849999999999996</v>
      </c>
      <c r="U493" s="23">
        <v>4.1849999999999996</v>
      </c>
      <c r="V493" s="5" t="s">
        <v>268</v>
      </c>
      <c r="W493" s="4">
        <v>47430</v>
      </c>
      <c r="X493" s="4">
        <v>125550</v>
      </c>
      <c r="Y493" s="14">
        <v>43656</v>
      </c>
      <c r="Z493" s="14">
        <v>46433</v>
      </c>
      <c r="AA493" s="2"/>
      <c r="AB493" s="69" t="s">
        <v>3892</v>
      </c>
      <c r="AC493" s="5" t="s">
        <v>4178</v>
      </c>
      <c r="AD493" s="2"/>
      <c r="AE493" s="14">
        <v>46371</v>
      </c>
      <c r="AF493" s="23">
        <v>100</v>
      </c>
      <c r="AG493" s="6"/>
      <c r="AH493" s="5" t="s">
        <v>3178</v>
      </c>
      <c r="AI493" s="5" t="s">
        <v>2842</v>
      </c>
      <c r="AJ493" s="5" t="s">
        <v>2</v>
      </c>
      <c r="AK493" s="21" t="s">
        <v>2</v>
      </c>
      <c r="AL493" s="72" t="s">
        <v>3894</v>
      </c>
      <c r="AM493" s="54" t="s">
        <v>4179</v>
      </c>
      <c r="AN493" s="34" t="s">
        <v>828</v>
      </c>
    </row>
    <row r="494" spans="2:40" x14ac:dyDescent="0.3">
      <c r="B494" s="18" t="s">
        <v>90</v>
      </c>
      <c r="C494" s="47" t="s">
        <v>2843</v>
      </c>
      <c r="D494" s="15" t="s">
        <v>579</v>
      </c>
      <c r="E494" s="68" t="s">
        <v>2</v>
      </c>
      <c r="F494" s="55" t="s">
        <v>2</v>
      </c>
      <c r="G494" s="40" t="s">
        <v>2745</v>
      </c>
      <c r="H494" s="71" t="s">
        <v>3894</v>
      </c>
      <c r="I494" s="67" t="s">
        <v>8</v>
      </c>
      <c r="J494" s="73" t="s">
        <v>270</v>
      </c>
      <c r="K494" s="4">
        <v>4989900</v>
      </c>
      <c r="L494" s="41">
        <v>96.834000000000003</v>
      </c>
      <c r="M494" s="4">
        <v>4841700</v>
      </c>
      <c r="N494" s="4">
        <v>5000000</v>
      </c>
      <c r="O494" s="4">
        <v>4997347</v>
      </c>
      <c r="P494" s="4">
        <v>0</v>
      </c>
      <c r="Q494" s="4">
        <v>2033</v>
      </c>
      <c r="R494" s="4">
        <v>0</v>
      </c>
      <c r="S494" s="4">
        <v>0</v>
      </c>
      <c r="T494" s="23">
        <v>3.9</v>
      </c>
      <c r="U494" s="23">
        <v>3.944</v>
      </c>
      <c r="V494" s="5" t="s">
        <v>3895</v>
      </c>
      <c r="W494" s="4">
        <v>48750</v>
      </c>
      <c r="X494" s="4">
        <v>195000</v>
      </c>
      <c r="Y494" s="14">
        <v>43531</v>
      </c>
      <c r="Z494" s="14">
        <v>45383</v>
      </c>
      <c r="AA494" s="2"/>
      <c r="AB494" s="69" t="s">
        <v>3892</v>
      </c>
      <c r="AC494" s="5" t="s">
        <v>4178</v>
      </c>
      <c r="AD494" s="2"/>
      <c r="AE494" s="14">
        <v>45352</v>
      </c>
      <c r="AF494" s="23">
        <v>100</v>
      </c>
      <c r="AG494" s="6"/>
      <c r="AH494" s="5" t="s">
        <v>2</v>
      </c>
      <c r="AI494" s="5" t="s">
        <v>580</v>
      </c>
      <c r="AJ494" s="5" t="s">
        <v>824</v>
      </c>
      <c r="AK494" s="21" t="s">
        <v>2</v>
      </c>
      <c r="AL494" s="72" t="s">
        <v>3894</v>
      </c>
      <c r="AM494" s="54" t="s">
        <v>4179</v>
      </c>
      <c r="AN494" s="34" t="s">
        <v>1189</v>
      </c>
    </row>
    <row r="495" spans="2:40" x14ac:dyDescent="0.3">
      <c r="B495" s="18" t="s">
        <v>1247</v>
      </c>
      <c r="C495" s="47" t="s">
        <v>3719</v>
      </c>
      <c r="D495" s="15" t="s">
        <v>2031</v>
      </c>
      <c r="E495" s="68" t="s">
        <v>2</v>
      </c>
      <c r="F495" s="55" t="s">
        <v>2</v>
      </c>
      <c r="G495" s="40" t="s">
        <v>2</v>
      </c>
      <c r="H495" s="71" t="s">
        <v>3894</v>
      </c>
      <c r="I495" s="67" t="s">
        <v>8</v>
      </c>
      <c r="J495" s="73" t="s">
        <v>2</v>
      </c>
      <c r="K495" s="4">
        <v>6000000</v>
      </c>
      <c r="L495" s="41">
        <v>88.498000000000005</v>
      </c>
      <c r="M495" s="4">
        <v>5309880</v>
      </c>
      <c r="N495" s="4">
        <v>6000000</v>
      </c>
      <c r="O495" s="4">
        <v>6000000</v>
      </c>
      <c r="P495" s="4">
        <v>0</v>
      </c>
      <c r="Q495" s="4">
        <v>0</v>
      </c>
      <c r="R495" s="4">
        <v>0</v>
      </c>
      <c r="S495" s="4">
        <v>0</v>
      </c>
      <c r="T495" s="23">
        <v>2.08</v>
      </c>
      <c r="U495" s="23">
        <v>2.08</v>
      </c>
      <c r="V495" s="5" t="s">
        <v>3895</v>
      </c>
      <c r="W495" s="4">
        <v>26347</v>
      </c>
      <c r="X495" s="4">
        <v>123760</v>
      </c>
      <c r="Y495" s="14">
        <v>44487</v>
      </c>
      <c r="Z495" s="14">
        <v>46310</v>
      </c>
      <c r="AA495" s="2"/>
      <c r="AB495" s="69" t="s">
        <v>1671</v>
      </c>
      <c r="AC495" s="5" t="s">
        <v>2</v>
      </c>
      <c r="AD495" s="2"/>
      <c r="AE495" s="10"/>
      <c r="AF495" s="23"/>
      <c r="AG495" s="6"/>
      <c r="AH495" s="5" t="s">
        <v>2</v>
      </c>
      <c r="AI495" s="5" t="s">
        <v>2031</v>
      </c>
      <c r="AJ495" s="5" t="s">
        <v>2</v>
      </c>
      <c r="AK495" s="21" t="s">
        <v>2</v>
      </c>
      <c r="AL495" s="72" t="s">
        <v>3894</v>
      </c>
      <c r="AM495" s="54" t="s">
        <v>4179</v>
      </c>
      <c r="AN495" s="34" t="s">
        <v>1439</v>
      </c>
    </row>
    <row r="496" spans="2:40" x14ac:dyDescent="0.3">
      <c r="B496" s="18" t="s">
        <v>2844</v>
      </c>
      <c r="C496" s="47" t="s">
        <v>1728</v>
      </c>
      <c r="D496" s="15" t="s">
        <v>2031</v>
      </c>
      <c r="E496" s="68" t="s">
        <v>2</v>
      </c>
      <c r="F496" s="55" t="s">
        <v>2</v>
      </c>
      <c r="G496" s="40" t="s">
        <v>2</v>
      </c>
      <c r="H496" s="71" t="s">
        <v>3894</v>
      </c>
      <c r="I496" s="67" t="s">
        <v>8</v>
      </c>
      <c r="J496" s="73" t="s">
        <v>2</v>
      </c>
      <c r="K496" s="4">
        <v>5000000</v>
      </c>
      <c r="L496" s="41">
        <v>84.441000000000003</v>
      </c>
      <c r="M496" s="4">
        <v>4222050</v>
      </c>
      <c r="N496" s="4">
        <v>5000000</v>
      </c>
      <c r="O496" s="4">
        <v>5000000</v>
      </c>
      <c r="P496" s="4">
        <v>0</v>
      </c>
      <c r="Q496" s="4">
        <v>0</v>
      </c>
      <c r="R496" s="4">
        <v>0</v>
      </c>
      <c r="S496" s="4">
        <v>0</v>
      </c>
      <c r="T496" s="23">
        <v>2.4</v>
      </c>
      <c r="U496" s="23">
        <v>2.4</v>
      </c>
      <c r="V496" s="5" t="s">
        <v>3895</v>
      </c>
      <c r="W496" s="4">
        <v>25333</v>
      </c>
      <c r="X496" s="4">
        <v>119000</v>
      </c>
      <c r="Y496" s="14">
        <v>44487</v>
      </c>
      <c r="Z496" s="14">
        <v>47041</v>
      </c>
      <c r="AA496" s="2"/>
      <c r="AB496" s="69" t="s">
        <v>1671</v>
      </c>
      <c r="AC496" s="5" t="s">
        <v>2</v>
      </c>
      <c r="AD496" s="2"/>
      <c r="AE496" s="10"/>
      <c r="AF496" s="23"/>
      <c r="AG496" s="6"/>
      <c r="AH496" s="5" t="s">
        <v>2</v>
      </c>
      <c r="AI496" s="5" t="s">
        <v>2031</v>
      </c>
      <c r="AJ496" s="5" t="s">
        <v>2</v>
      </c>
      <c r="AK496" s="21" t="s">
        <v>2</v>
      </c>
      <c r="AL496" s="72" t="s">
        <v>3894</v>
      </c>
      <c r="AM496" s="54" t="s">
        <v>4179</v>
      </c>
      <c r="AN496" s="34" t="s">
        <v>1439</v>
      </c>
    </row>
    <row r="497" spans="2:40" x14ac:dyDescent="0.3">
      <c r="B497" s="18" t="s">
        <v>3975</v>
      </c>
      <c r="C497" s="47" t="s">
        <v>1475</v>
      </c>
      <c r="D497" s="15" t="s">
        <v>1248</v>
      </c>
      <c r="E497" s="68" t="s">
        <v>2</v>
      </c>
      <c r="F497" s="55" t="s">
        <v>2</v>
      </c>
      <c r="G497" s="40" t="s">
        <v>2745</v>
      </c>
      <c r="H497" s="71" t="s">
        <v>3894</v>
      </c>
      <c r="I497" s="67" t="s">
        <v>1164</v>
      </c>
      <c r="J497" s="73" t="s">
        <v>270</v>
      </c>
      <c r="K497" s="4">
        <v>5165300</v>
      </c>
      <c r="L497" s="41">
        <v>92.974999999999994</v>
      </c>
      <c r="M497" s="4">
        <v>4648750</v>
      </c>
      <c r="N497" s="4">
        <v>5000000</v>
      </c>
      <c r="O497" s="4">
        <v>5091405</v>
      </c>
      <c r="P497" s="4">
        <v>0</v>
      </c>
      <c r="Q497" s="4">
        <v>-26353</v>
      </c>
      <c r="R497" s="4">
        <v>0</v>
      </c>
      <c r="S497" s="4">
        <v>0</v>
      </c>
      <c r="T497" s="23">
        <v>3</v>
      </c>
      <c r="U497" s="23">
        <v>2.419</v>
      </c>
      <c r="V497" s="5" t="s">
        <v>1916</v>
      </c>
      <c r="W497" s="4">
        <v>69167</v>
      </c>
      <c r="X497" s="4">
        <v>150000</v>
      </c>
      <c r="Y497" s="14">
        <v>43873</v>
      </c>
      <c r="Z497" s="14">
        <v>46218</v>
      </c>
      <c r="AA497" s="2"/>
      <c r="AB497" s="69" t="s">
        <v>3892</v>
      </c>
      <c r="AC497" s="5" t="s">
        <v>4178</v>
      </c>
      <c r="AD497" s="2"/>
      <c r="AE497" s="14">
        <v>46127</v>
      </c>
      <c r="AF497" s="23">
        <v>100</v>
      </c>
      <c r="AG497" s="9">
        <v>46127</v>
      </c>
      <c r="AH497" s="5" t="s">
        <v>2593</v>
      </c>
      <c r="AI497" s="5" t="s">
        <v>1248</v>
      </c>
      <c r="AJ497" s="5" t="s">
        <v>2</v>
      </c>
      <c r="AK497" s="21" t="s">
        <v>2</v>
      </c>
      <c r="AL497" s="72" t="s">
        <v>3894</v>
      </c>
      <c r="AM497" s="54" t="s">
        <v>4179</v>
      </c>
      <c r="AN497" s="34" t="s">
        <v>828</v>
      </c>
    </row>
    <row r="498" spans="2:40" x14ac:dyDescent="0.3">
      <c r="B498" s="18" t="s">
        <v>581</v>
      </c>
      <c r="C498" s="47" t="s">
        <v>582</v>
      </c>
      <c r="D498" s="15" t="s">
        <v>1729</v>
      </c>
      <c r="E498" s="68" t="s">
        <v>2</v>
      </c>
      <c r="F498" s="55" t="s">
        <v>2</v>
      </c>
      <c r="G498" s="40" t="s">
        <v>2745</v>
      </c>
      <c r="H498" s="71" t="s">
        <v>3894</v>
      </c>
      <c r="I498" s="67" t="s">
        <v>8</v>
      </c>
      <c r="J498" s="73" t="s">
        <v>270</v>
      </c>
      <c r="K498" s="4">
        <v>7956960</v>
      </c>
      <c r="L498" s="41">
        <v>95.447999999999993</v>
      </c>
      <c r="M498" s="4">
        <v>7635840</v>
      </c>
      <c r="N498" s="4">
        <v>8000000</v>
      </c>
      <c r="O498" s="4">
        <v>7979469</v>
      </c>
      <c r="P498" s="4">
        <v>0</v>
      </c>
      <c r="Q498" s="4">
        <v>6106</v>
      </c>
      <c r="R498" s="4">
        <v>0</v>
      </c>
      <c r="S498" s="4">
        <v>0</v>
      </c>
      <c r="T498" s="23">
        <v>3.625</v>
      </c>
      <c r="U498" s="23">
        <v>3.7130000000000001</v>
      </c>
      <c r="V498" s="5" t="s">
        <v>268</v>
      </c>
      <c r="W498" s="4">
        <v>111167</v>
      </c>
      <c r="X498" s="4">
        <v>290000</v>
      </c>
      <c r="Y498" s="14">
        <v>43507</v>
      </c>
      <c r="Z498" s="14">
        <v>46066</v>
      </c>
      <c r="AA498" s="2"/>
      <c r="AB498" s="69" t="s">
        <v>3892</v>
      </c>
      <c r="AC498" s="5" t="s">
        <v>7</v>
      </c>
      <c r="AD498" s="2"/>
      <c r="AE498" s="14">
        <v>46004</v>
      </c>
      <c r="AF498" s="23">
        <v>100</v>
      </c>
      <c r="AG498" s="6"/>
      <c r="AH498" s="5" t="s">
        <v>583</v>
      </c>
      <c r="AI498" s="5" t="s">
        <v>1729</v>
      </c>
      <c r="AJ498" s="5" t="s">
        <v>2</v>
      </c>
      <c r="AK498" s="21" t="s">
        <v>2</v>
      </c>
      <c r="AL498" s="72" t="s">
        <v>3894</v>
      </c>
      <c r="AM498" s="54" t="s">
        <v>4179</v>
      </c>
      <c r="AN498" s="34" t="s">
        <v>1189</v>
      </c>
    </row>
    <row r="499" spans="2:40" x14ac:dyDescent="0.3">
      <c r="B499" s="18" t="s">
        <v>1730</v>
      </c>
      <c r="C499" s="47" t="s">
        <v>2378</v>
      </c>
      <c r="D499" s="15" t="s">
        <v>920</v>
      </c>
      <c r="E499" s="68" t="s">
        <v>2</v>
      </c>
      <c r="F499" s="55" t="s">
        <v>2</v>
      </c>
      <c r="G499" s="40" t="s">
        <v>2745</v>
      </c>
      <c r="H499" s="71" t="s">
        <v>2745</v>
      </c>
      <c r="I499" s="67" t="s">
        <v>3660</v>
      </c>
      <c r="J499" s="73" t="s">
        <v>270</v>
      </c>
      <c r="K499" s="4">
        <v>3800000</v>
      </c>
      <c r="L499" s="41">
        <v>95.685000000000002</v>
      </c>
      <c r="M499" s="4">
        <v>3636030</v>
      </c>
      <c r="N499" s="4">
        <v>3800000</v>
      </c>
      <c r="O499" s="4">
        <v>3799997</v>
      </c>
      <c r="P499" s="4">
        <v>0</v>
      </c>
      <c r="Q499" s="4">
        <v>1</v>
      </c>
      <c r="R499" s="4">
        <v>0</v>
      </c>
      <c r="S499" s="4">
        <v>0</v>
      </c>
      <c r="T499" s="23">
        <v>2.72</v>
      </c>
      <c r="U499" s="23">
        <v>2.72</v>
      </c>
      <c r="V499" s="5" t="s">
        <v>1916</v>
      </c>
      <c r="W499" s="4">
        <v>45651</v>
      </c>
      <c r="X499" s="4">
        <v>103360</v>
      </c>
      <c r="Y499" s="14">
        <v>43664</v>
      </c>
      <c r="Z499" s="14">
        <v>45860</v>
      </c>
      <c r="AA499" s="2"/>
      <c r="AB499" s="69" t="s">
        <v>3892</v>
      </c>
      <c r="AC499" s="5" t="s">
        <v>4178</v>
      </c>
      <c r="AD499" s="2"/>
      <c r="AE499" s="14">
        <v>45495</v>
      </c>
      <c r="AF499" s="23">
        <v>100</v>
      </c>
      <c r="AG499" s="10"/>
      <c r="AH499" s="5" t="s">
        <v>921</v>
      </c>
      <c r="AI499" s="5" t="s">
        <v>920</v>
      </c>
      <c r="AJ499" s="5" t="s">
        <v>2</v>
      </c>
      <c r="AK499" s="21" t="s">
        <v>2</v>
      </c>
      <c r="AL499" s="72" t="s">
        <v>3894</v>
      </c>
      <c r="AM499" s="54" t="s">
        <v>4179</v>
      </c>
      <c r="AN499" s="34" t="s">
        <v>1170</v>
      </c>
    </row>
    <row r="500" spans="2:40" x14ac:dyDescent="0.3">
      <c r="B500" s="18" t="s">
        <v>2845</v>
      </c>
      <c r="C500" s="47" t="s">
        <v>342</v>
      </c>
      <c r="D500" s="15" t="s">
        <v>920</v>
      </c>
      <c r="E500" s="68" t="s">
        <v>2</v>
      </c>
      <c r="F500" s="55" t="s">
        <v>2</v>
      </c>
      <c r="G500" s="40" t="s">
        <v>2745</v>
      </c>
      <c r="H500" s="71" t="s">
        <v>2745</v>
      </c>
      <c r="I500" s="67" t="s">
        <v>3660</v>
      </c>
      <c r="J500" s="73" t="s">
        <v>270</v>
      </c>
      <c r="K500" s="4">
        <v>3000000</v>
      </c>
      <c r="L500" s="41">
        <v>92.811000000000007</v>
      </c>
      <c r="M500" s="4">
        <v>2784330</v>
      </c>
      <c r="N500" s="4">
        <v>3000000</v>
      </c>
      <c r="O500" s="4">
        <v>2999841</v>
      </c>
      <c r="P500" s="4">
        <v>0</v>
      </c>
      <c r="Q500" s="4">
        <v>-61</v>
      </c>
      <c r="R500" s="4">
        <v>0</v>
      </c>
      <c r="S500" s="4">
        <v>0</v>
      </c>
      <c r="T500" s="23">
        <v>2.1880000000000002</v>
      </c>
      <c r="U500" s="23">
        <v>2.1859999999999999</v>
      </c>
      <c r="V500" s="5" t="s">
        <v>3895</v>
      </c>
      <c r="W500" s="4">
        <v>11487</v>
      </c>
      <c r="X500" s="4">
        <v>65640</v>
      </c>
      <c r="Y500" s="14">
        <v>43944</v>
      </c>
      <c r="Z500" s="14">
        <v>46140</v>
      </c>
      <c r="AA500" s="2"/>
      <c r="AB500" s="69" t="s">
        <v>3892</v>
      </c>
      <c r="AC500" s="5" t="s">
        <v>4178</v>
      </c>
      <c r="AD500" s="2"/>
      <c r="AE500" s="9">
        <v>45775</v>
      </c>
      <c r="AF500" s="23">
        <v>100</v>
      </c>
      <c r="AG500" s="6"/>
      <c r="AH500" s="5" t="s">
        <v>921</v>
      </c>
      <c r="AI500" s="5" t="s">
        <v>920</v>
      </c>
      <c r="AJ500" s="5" t="s">
        <v>2</v>
      </c>
      <c r="AK500" s="21" t="s">
        <v>2</v>
      </c>
      <c r="AL500" s="72" t="s">
        <v>3894</v>
      </c>
      <c r="AM500" s="54" t="s">
        <v>4179</v>
      </c>
      <c r="AN500" s="34" t="s">
        <v>1170</v>
      </c>
    </row>
    <row r="501" spans="2:40" x14ac:dyDescent="0.3">
      <c r="B501" s="18" t="s">
        <v>3976</v>
      </c>
      <c r="C501" s="47" t="s">
        <v>1731</v>
      </c>
      <c r="D501" s="15" t="s">
        <v>920</v>
      </c>
      <c r="E501" s="68" t="s">
        <v>2</v>
      </c>
      <c r="F501" s="55" t="s">
        <v>2</v>
      </c>
      <c r="G501" s="40" t="s">
        <v>2745</v>
      </c>
      <c r="H501" s="71" t="s">
        <v>2745</v>
      </c>
      <c r="I501" s="67" t="s">
        <v>1414</v>
      </c>
      <c r="J501" s="73" t="s">
        <v>270</v>
      </c>
      <c r="K501" s="4">
        <v>3500000</v>
      </c>
      <c r="L501" s="41">
        <v>99.417000000000002</v>
      </c>
      <c r="M501" s="4">
        <v>3479595</v>
      </c>
      <c r="N501" s="4">
        <v>3500000</v>
      </c>
      <c r="O501" s="4">
        <v>3500000</v>
      </c>
      <c r="P501" s="4">
        <v>0</v>
      </c>
      <c r="Q501" s="4">
        <v>0</v>
      </c>
      <c r="R501" s="4">
        <v>0</v>
      </c>
      <c r="S501" s="4">
        <v>0</v>
      </c>
      <c r="T501" s="23">
        <v>3.7370000000000001</v>
      </c>
      <c r="U501" s="23">
        <v>3.6669999999999998</v>
      </c>
      <c r="V501" s="5" t="s">
        <v>3895</v>
      </c>
      <c r="W501" s="4">
        <v>24342</v>
      </c>
      <c r="X501" s="4">
        <v>130795</v>
      </c>
      <c r="Y501" s="14">
        <v>43209</v>
      </c>
      <c r="Z501" s="14">
        <v>45406</v>
      </c>
      <c r="AA501" s="2"/>
      <c r="AB501" s="69" t="s">
        <v>3892</v>
      </c>
      <c r="AC501" s="5" t="s">
        <v>4178</v>
      </c>
      <c r="AD501" s="2"/>
      <c r="AE501" s="9">
        <v>45040</v>
      </c>
      <c r="AF501" s="23">
        <v>100</v>
      </c>
      <c r="AG501" s="6"/>
      <c r="AH501" s="5" t="s">
        <v>921</v>
      </c>
      <c r="AI501" s="5" t="s">
        <v>920</v>
      </c>
      <c r="AJ501" s="5" t="s">
        <v>2</v>
      </c>
      <c r="AK501" s="21" t="s">
        <v>2</v>
      </c>
      <c r="AL501" s="72" t="s">
        <v>3894</v>
      </c>
      <c r="AM501" s="54" t="s">
        <v>4179</v>
      </c>
      <c r="AN501" s="34" t="s">
        <v>512</v>
      </c>
    </row>
    <row r="502" spans="2:40" x14ac:dyDescent="0.3">
      <c r="B502" s="18" t="s">
        <v>584</v>
      </c>
      <c r="C502" s="47" t="s">
        <v>2846</v>
      </c>
      <c r="D502" s="15" t="s">
        <v>920</v>
      </c>
      <c r="E502" s="68" t="s">
        <v>2</v>
      </c>
      <c r="F502" s="55" t="s">
        <v>2</v>
      </c>
      <c r="G502" s="40" t="s">
        <v>2745</v>
      </c>
      <c r="H502" s="71" t="s">
        <v>2745</v>
      </c>
      <c r="I502" s="67" t="s">
        <v>1414</v>
      </c>
      <c r="J502" s="73" t="s">
        <v>270</v>
      </c>
      <c r="K502" s="4">
        <v>501455</v>
      </c>
      <c r="L502" s="41">
        <v>98.513999999999996</v>
      </c>
      <c r="M502" s="4">
        <v>492570</v>
      </c>
      <c r="N502" s="4">
        <v>500000</v>
      </c>
      <c r="O502" s="4">
        <v>500365</v>
      </c>
      <c r="P502" s="4">
        <v>0</v>
      </c>
      <c r="Q502" s="4">
        <v>-263</v>
      </c>
      <c r="R502" s="4">
        <v>0</v>
      </c>
      <c r="S502" s="4">
        <v>0</v>
      </c>
      <c r="T502" s="23">
        <v>3.875</v>
      </c>
      <c r="U502" s="23">
        <v>3.8180000000000001</v>
      </c>
      <c r="V502" s="5" t="s">
        <v>3895</v>
      </c>
      <c r="W502" s="4">
        <v>3337</v>
      </c>
      <c r="X502" s="4">
        <v>19375</v>
      </c>
      <c r="Y502" s="14">
        <v>43278</v>
      </c>
      <c r="Z502" s="14">
        <v>45411</v>
      </c>
      <c r="AA502" s="2"/>
      <c r="AB502" s="69" t="s">
        <v>3892</v>
      </c>
      <c r="AC502" s="5" t="s">
        <v>4178</v>
      </c>
      <c r="AD502" s="2"/>
      <c r="AE502" s="10"/>
      <c r="AF502" s="23"/>
      <c r="AG502" s="6"/>
      <c r="AH502" s="5" t="s">
        <v>921</v>
      </c>
      <c r="AI502" s="5" t="s">
        <v>920</v>
      </c>
      <c r="AJ502" s="5" t="s">
        <v>2</v>
      </c>
      <c r="AK502" s="21" t="s">
        <v>2</v>
      </c>
      <c r="AL502" s="72" t="s">
        <v>3894</v>
      </c>
      <c r="AM502" s="54" t="s">
        <v>4179</v>
      </c>
      <c r="AN502" s="34" t="s">
        <v>512</v>
      </c>
    </row>
    <row r="503" spans="2:40" x14ac:dyDescent="0.3">
      <c r="B503" s="18" t="s">
        <v>1732</v>
      </c>
      <c r="C503" s="47" t="s">
        <v>922</v>
      </c>
      <c r="D503" s="15" t="s">
        <v>920</v>
      </c>
      <c r="E503" s="68" t="s">
        <v>2</v>
      </c>
      <c r="F503" s="55" t="s">
        <v>2</v>
      </c>
      <c r="G503" s="40" t="s">
        <v>2745</v>
      </c>
      <c r="H503" s="71" t="s">
        <v>2745</v>
      </c>
      <c r="I503" s="67" t="s">
        <v>3660</v>
      </c>
      <c r="J503" s="73" t="s">
        <v>270</v>
      </c>
      <c r="K503" s="4">
        <v>5000000</v>
      </c>
      <c r="L503" s="41">
        <v>78.421999999999997</v>
      </c>
      <c r="M503" s="4">
        <v>3921100</v>
      </c>
      <c r="N503" s="4">
        <v>5000000</v>
      </c>
      <c r="O503" s="4">
        <v>4999898</v>
      </c>
      <c r="P503" s="4">
        <v>0</v>
      </c>
      <c r="Q503" s="4">
        <v>-84</v>
      </c>
      <c r="R503" s="4">
        <v>0</v>
      </c>
      <c r="S503" s="4">
        <v>0</v>
      </c>
      <c r="T503" s="23">
        <v>2.5110000000000001</v>
      </c>
      <c r="U503" s="23">
        <v>2.5089999999999999</v>
      </c>
      <c r="V503" s="5" t="s">
        <v>3895</v>
      </c>
      <c r="W503" s="4">
        <v>24761</v>
      </c>
      <c r="X503" s="4">
        <v>125899</v>
      </c>
      <c r="Y503" s="14">
        <v>44483</v>
      </c>
      <c r="Z503" s="14">
        <v>48507</v>
      </c>
      <c r="AA503" s="2"/>
      <c r="AB503" s="69" t="s">
        <v>3892</v>
      </c>
      <c r="AC503" s="5" t="s">
        <v>4178</v>
      </c>
      <c r="AD503" s="2"/>
      <c r="AE503" s="14">
        <v>48141</v>
      </c>
      <c r="AF503" s="23">
        <v>100</v>
      </c>
      <c r="AG503" s="6"/>
      <c r="AH503" s="5" t="s">
        <v>921</v>
      </c>
      <c r="AI503" s="5" t="s">
        <v>920</v>
      </c>
      <c r="AJ503" s="5" t="s">
        <v>2</v>
      </c>
      <c r="AK503" s="21" t="s">
        <v>2</v>
      </c>
      <c r="AL503" s="72" t="s">
        <v>3894</v>
      </c>
      <c r="AM503" s="54" t="s">
        <v>4179</v>
      </c>
      <c r="AN503" s="34" t="s">
        <v>1170</v>
      </c>
    </row>
    <row r="504" spans="2:40" x14ac:dyDescent="0.3">
      <c r="B504" s="18" t="s">
        <v>3179</v>
      </c>
      <c r="C504" s="47" t="s">
        <v>2032</v>
      </c>
      <c r="D504" s="15" t="s">
        <v>920</v>
      </c>
      <c r="E504" s="68" t="s">
        <v>2</v>
      </c>
      <c r="F504" s="55" t="s">
        <v>2</v>
      </c>
      <c r="G504" s="40" t="s">
        <v>2745</v>
      </c>
      <c r="H504" s="71" t="s">
        <v>2745</v>
      </c>
      <c r="I504" s="67" t="s">
        <v>3660</v>
      </c>
      <c r="J504" s="73" t="s">
        <v>270</v>
      </c>
      <c r="K504" s="4">
        <v>5000000</v>
      </c>
      <c r="L504" s="41">
        <v>88.975999999999999</v>
      </c>
      <c r="M504" s="4">
        <v>4448800</v>
      </c>
      <c r="N504" s="4">
        <v>5000000</v>
      </c>
      <c r="O504" s="4">
        <v>5000000</v>
      </c>
      <c r="P504" s="4">
        <v>0</v>
      </c>
      <c r="Q504" s="4">
        <v>0</v>
      </c>
      <c r="R504" s="4">
        <v>0</v>
      </c>
      <c r="S504" s="4">
        <v>0</v>
      </c>
      <c r="T504" s="23">
        <v>2.4750000000000001</v>
      </c>
      <c r="U504" s="23">
        <v>2.25</v>
      </c>
      <c r="V504" s="5" t="s">
        <v>1916</v>
      </c>
      <c r="W504" s="4">
        <v>55000</v>
      </c>
      <c r="X504" s="4">
        <v>60844</v>
      </c>
      <c r="Y504" s="14">
        <v>44580</v>
      </c>
      <c r="Z504" s="14">
        <v>46773</v>
      </c>
      <c r="AA504" s="2"/>
      <c r="AB504" s="69" t="s">
        <v>3892</v>
      </c>
      <c r="AC504" s="5" t="s">
        <v>4178</v>
      </c>
      <c r="AD504" s="2"/>
      <c r="AE504" s="9">
        <v>46408</v>
      </c>
      <c r="AF504" s="23">
        <v>100</v>
      </c>
      <c r="AG504" s="6"/>
      <c r="AH504" s="5" t="s">
        <v>921</v>
      </c>
      <c r="AI504" s="5" t="s">
        <v>920</v>
      </c>
      <c r="AJ504" s="5" t="s">
        <v>2</v>
      </c>
      <c r="AK504" s="21" t="s">
        <v>2</v>
      </c>
      <c r="AL504" s="72" t="s">
        <v>3894</v>
      </c>
      <c r="AM504" s="54" t="s">
        <v>4179</v>
      </c>
      <c r="AN504" s="34" t="s">
        <v>1170</v>
      </c>
    </row>
    <row r="505" spans="2:40" x14ac:dyDescent="0.3">
      <c r="B505" s="18" t="s">
        <v>4310</v>
      </c>
      <c r="C505" s="47" t="s">
        <v>3180</v>
      </c>
      <c r="D505" s="15" t="s">
        <v>920</v>
      </c>
      <c r="E505" s="68" t="s">
        <v>2</v>
      </c>
      <c r="F505" s="55" t="s">
        <v>2</v>
      </c>
      <c r="G505" s="40" t="s">
        <v>2745</v>
      </c>
      <c r="H505" s="71" t="s">
        <v>2745</v>
      </c>
      <c r="I505" s="67" t="s">
        <v>3660</v>
      </c>
      <c r="J505" s="73" t="s">
        <v>270</v>
      </c>
      <c r="K505" s="4">
        <v>5000000</v>
      </c>
      <c r="L505" s="41">
        <v>95.128</v>
      </c>
      <c r="M505" s="4">
        <v>4756400</v>
      </c>
      <c r="N505" s="4">
        <v>5000000</v>
      </c>
      <c r="O505" s="4">
        <v>5000000</v>
      </c>
      <c r="P505" s="4">
        <v>0</v>
      </c>
      <c r="Q505" s="4">
        <v>0</v>
      </c>
      <c r="R505" s="4">
        <v>0</v>
      </c>
      <c r="S505" s="4">
        <v>0</v>
      </c>
      <c r="T505" s="23">
        <v>4.21</v>
      </c>
      <c r="U505" s="23">
        <v>3.8639999999999999</v>
      </c>
      <c r="V505" s="5" t="s">
        <v>3895</v>
      </c>
      <c r="W505" s="4">
        <v>41515</v>
      </c>
      <c r="X505" s="4">
        <v>105250</v>
      </c>
      <c r="Y505" s="14">
        <v>44669</v>
      </c>
      <c r="Z505" s="14">
        <v>46863</v>
      </c>
      <c r="AA505" s="2"/>
      <c r="AB505" s="69" t="s">
        <v>3892</v>
      </c>
      <c r="AC505" s="5" t="s">
        <v>4178</v>
      </c>
      <c r="AD505" s="2"/>
      <c r="AE505" s="9">
        <v>46497</v>
      </c>
      <c r="AF505" s="23">
        <v>100</v>
      </c>
      <c r="AG505" s="6"/>
      <c r="AH505" s="5" t="s">
        <v>921</v>
      </c>
      <c r="AI505" s="5" t="s">
        <v>920</v>
      </c>
      <c r="AJ505" s="5" t="s">
        <v>2</v>
      </c>
      <c r="AK505" s="21" t="s">
        <v>2</v>
      </c>
      <c r="AL505" s="72" t="s">
        <v>3894</v>
      </c>
      <c r="AM505" s="54" t="s">
        <v>4179</v>
      </c>
      <c r="AN505" s="34" t="s">
        <v>1170</v>
      </c>
    </row>
    <row r="506" spans="2:40" x14ac:dyDescent="0.3">
      <c r="B506" s="18" t="s">
        <v>1733</v>
      </c>
      <c r="C506" s="47" t="s">
        <v>4311</v>
      </c>
      <c r="D506" s="15" t="s">
        <v>920</v>
      </c>
      <c r="E506" s="68" t="s">
        <v>2</v>
      </c>
      <c r="F506" s="55" t="s">
        <v>2</v>
      </c>
      <c r="G506" s="40" t="s">
        <v>2745</v>
      </c>
      <c r="H506" s="71" t="s">
        <v>2745</v>
      </c>
      <c r="I506" s="67" t="s">
        <v>3660</v>
      </c>
      <c r="J506" s="73" t="s">
        <v>270</v>
      </c>
      <c r="K506" s="4">
        <v>5000000</v>
      </c>
      <c r="L506" s="41">
        <v>94.299000000000007</v>
      </c>
      <c r="M506" s="4">
        <v>4714950</v>
      </c>
      <c r="N506" s="4">
        <v>5000000</v>
      </c>
      <c r="O506" s="4">
        <v>5000000</v>
      </c>
      <c r="P506" s="4">
        <v>0</v>
      </c>
      <c r="Q506" s="4">
        <v>0</v>
      </c>
      <c r="R506" s="4">
        <v>0</v>
      </c>
      <c r="S506" s="4">
        <v>0</v>
      </c>
      <c r="T506" s="23">
        <v>4.8890000000000002</v>
      </c>
      <c r="U506" s="23">
        <v>4.8019999999999996</v>
      </c>
      <c r="V506" s="5" t="s">
        <v>1916</v>
      </c>
      <c r="W506" s="4">
        <v>109323</v>
      </c>
      <c r="X506" s="4">
        <v>0</v>
      </c>
      <c r="Y506" s="14">
        <v>44760</v>
      </c>
      <c r="Z506" s="14">
        <v>48780</v>
      </c>
      <c r="AA506" s="2"/>
      <c r="AB506" s="69" t="s">
        <v>3892</v>
      </c>
      <c r="AC506" s="5" t="s">
        <v>4178</v>
      </c>
      <c r="AD506" s="2"/>
      <c r="AE506" s="14">
        <v>48415</v>
      </c>
      <c r="AF506" s="23">
        <v>100</v>
      </c>
      <c r="AG506" s="10"/>
      <c r="AH506" s="5" t="s">
        <v>921</v>
      </c>
      <c r="AI506" s="5" t="s">
        <v>920</v>
      </c>
      <c r="AJ506" s="5" t="s">
        <v>2</v>
      </c>
      <c r="AK506" s="21" t="s">
        <v>2</v>
      </c>
      <c r="AL506" s="72" t="s">
        <v>3894</v>
      </c>
      <c r="AM506" s="54" t="s">
        <v>4179</v>
      </c>
      <c r="AN506" s="34" t="s">
        <v>1170</v>
      </c>
    </row>
    <row r="507" spans="2:40" x14ac:dyDescent="0.3">
      <c r="B507" s="18" t="s">
        <v>2847</v>
      </c>
      <c r="C507" s="47" t="s">
        <v>343</v>
      </c>
      <c r="D507" s="15" t="s">
        <v>920</v>
      </c>
      <c r="E507" s="68" t="s">
        <v>2</v>
      </c>
      <c r="F507" s="55" t="s">
        <v>2</v>
      </c>
      <c r="G507" s="40" t="s">
        <v>2745</v>
      </c>
      <c r="H507" s="71" t="s">
        <v>2745</v>
      </c>
      <c r="I507" s="67" t="s">
        <v>1414</v>
      </c>
      <c r="J507" s="73" t="s">
        <v>270</v>
      </c>
      <c r="K507" s="4">
        <v>2332300</v>
      </c>
      <c r="L507" s="41">
        <v>93.424000000000007</v>
      </c>
      <c r="M507" s="4">
        <v>2335600</v>
      </c>
      <c r="N507" s="4">
        <v>2500000</v>
      </c>
      <c r="O507" s="4">
        <v>2418979</v>
      </c>
      <c r="P507" s="4">
        <v>0</v>
      </c>
      <c r="Q507" s="4">
        <v>20654</v>
      </c>
      <c r="R507" s="4">
        <v>0</v>
      </c>
      <c r="S507" s="4">
        <v>0</v>
      </c>
      <c r="T507" s="23">
        <v>3.125</v>
      </c>
      <c r="U507" s="23">
        <v>4.1100000000000003</v>
      </c>
      <c r="V507" s="5" t="s">
        <v>1916</v>
      </c>
      <c r="W507" s="4">
        <v>33420</v>
      </c>
      <c r="X507" s="4">
        <v>78125</v>
      </c>
      <c r="Y507" s="14">
        <v>43278</v>
      </c>
      <c r="Z507" s="14">
        <v>46230</v>
      </c>
      <c r="AA507" s="2"/>
      <c r="AB507" s="69" t="s">
        <v>3892</v>
      </c>
      <c r="AC507" s="5" t="s">
        <v>4178</v>
      </c>
      <c r="AD507" s="2"/>
      <c r="AE507" s="10"/>
      <c r="AF507" s="23"/>
      <c r="AG507" s="6"/>
      <c r="AH507" s="5" t="s">
        <v>921</v>
      </c>
      <c r="AI507" s="5" t="s">
        <v>920</v>
      </c>
      <c r="AJ507" s="5" t="s">
        <v>2</v>
      </c>
      <c r="AK507" s="21" t="s">
        <v>2</v>
      </c>
      <c r="AL507" s="72" t="s">
        <v>3894</v>
      </c>
      <c r="AM507" s="54" t="s">
        <v>4179</v>
      </c>
      <c r="AN507" s="34" t="s">
        <v>512</v>
      </c>
    </row>
    <row r="508" spans="2:40" x14ac:dyDescent="0.3">
      <c r="B508" s="18" t="s">
        <v>3977</v>
      </c>
      <c r="C508" s="47" t="s">
        <v>1734</v>
      </c>
      <c r="D508" s="15" t="s">
        <v>344</v>
      </c>
      <c r="E508" s="68" t="s">
        <v>2</v>
      </c>
      <c r="F508" s="55" t="s">
        <v>2</v>
      </c>
      <c r="G508" s="40" t="s">
        <v>2745</v>
      </c>
      <c r="H508" s="71" t="s">
        <v>825</v>
      </c>
      <c r="I508" s="67" t="s">
        <v>8</v>
      </c>
      <c r="J508" s="73" t="s">
        <v>270</v>
      </c>
      <c r="K508" s="4">
        <v>5955000</v>
      </c>
      <c r="L508" s="41">
        <v>87.914000000000001</v>
      </c>
      <c r="M508" s="4">
        <v>5274840</v>
      </c>
      <c r="N508" s="4">
        <v>6000000</v>
      </c>
      <c r="O508" s="4">
        <v>5274840</v>
      </c>
      <c r="P508" s="4">
        <v>-685044</v>
      </c>
      <c r="Q508" s="4">
        <v>4884</v>
      </c>
      <c r="R508" s="4">
        <v>0</v>
      </c>
      <c r="S508" s="4">
        <v>0</v>
      </c>
      <c r="T508" s="23">
        <v>4</v>
      </c>
      <c r="U508" s="23">
        <v>4.1189999999999998</v>
      </c>
      <c r="V508" s="5" t="s">
        <v>3898</v>
      </c>
      <c r="W508" s="4">
        <v>10667</v>
      </c>
      <c r="X508" s="4">
        <v>240000</v>
      </c>
      <c r="Y508" s="14">
        <v>44599</v>
      </c>
      <c r="Z508" s="14">
        <v>47284</v>
      </c>
      <c r="AA508" s="2"/>
      <c r="AB508" s="69" t="s">
        <v>3892</v>
      </c>
      <c r="AC508" s="5" t="s">
        <v>4178</v>
      </c>
      <c r="AD508" s="2"/>
      <c r="AE508" s="14">
        <v>45458</v>
      </c>
      <c r="AF508" s="23">
        <v>102</v>
      </c>
      <c r="AG508" s="6"/>
      <c r="AH508" s="5" t="s">
        <v>3493</v>
      </c>
      <c r="AI508" s="5" t="s">
        <v>4312</v>
      </c>
      <c r="AJ508" s="5" t="s">
        <v>824</v>
      </c>
      <c r="AK508" s="21" t="s">
        <v>2</v>
      </c>
      <c r="AL508" s="72" t="s">
        <v>3894</v>
      </c>
      <c r="AM508" s="54" t="s">
        <v>4179</v>
      </c>
      <c r="AN508" s="34" t="s">
        <v>525</v>
      </c>
    </row>
    <row r="509" spans="2:40" x14ac:dyDescent="0.3">
      <c r="B509" s="18" t="s">
        <v>585</v>
      </c>
      <c r="C509" s="47" t="s">
        <v>1249</v>
      </c>
      <c r="D509" s="15" t="s">
        <v>2594</v>
      </c>
      <c r="E509" s="68" t="s">
        <v>2</v>
      </c>
      <c r="F509" s="55" t="s">
        <v>2</v>
      </c>
      <c r="G509" s="40" t="s">
        <v>2745</v>
      </c>
      <c r="H509" s="71" t="s">
        <v>825</v>
      </c>
      <c r="I509" s="67" t="s">
        <v>8</v>
      </c>
      <c r="J509" s="73" t="s">
        <v>270</v>
      </c>
      <c r="K509" s="4">
        <v>4993098</v>
      </c>
      <c r="L509" s="41">
        <v>82.822999999999993</v>
      </c>
      <c r="M509" s="4">
        <v>4141150</v>
      </c>
      <c r="N509" s="4">
        <v>5000000</v>
      </c>
      <c r="O509" s="4">
        <v>4141150</v>
      </c>
      <c r="P509" s="4">
        <v>-823736</v>
      </c>
      <c r="Q509" s="4">
        <v>477</v>
      </c>
      <c r="R509" s="4">
        <v>0</v>
      </c>
      <c r="S509" s="4">
        <v>0</v>
      </c>
      <c r="T509" s="23">
        <v>3.75</v>
      </c>
      <c r="U509" s="23">
        <v>3.7639999999999998</v>
      </c>
      <c r="V509" s="5" t="s">
        <v>268</v>
      </c>
      <c r="W509" s="4">
        <v>70833</v>
      </c>
      <c r="X509" s="4">
        <v>187500</v>
      </c>
      <c r="Y509" s="14">
        <v>44328</v>
      </c>
      <c r="Z509" s="14">
        <v>47894</v>
      </c>
      <c r="AA509" s="2"/>
      <c r="AB509" s="69" t="s">
        <v>3892</v>
      </c>
      <c r="AC509" s="5" t="s">
        <v>4178</v>
      </c>
      <c r="AD509" s="2"/>
      <c r="AE509" s="9">
        <v>46068</v>
      </c>
      <c r="AF509" s="23">
        <v>101.875</v>
      </c>
      <c r="AG509" s="6"/>
      <c r="AH509" s="5" t="s">
        <v>1250</v>
      </c>
      <c r="AI509" s="5" t="s">
        <v>1251</v>
      </c>
      <c r="AJ509" s="5" t="s">
        <v>824</v>
      </c>
      <c r="AK509" s="21" t="s">
        <v>2</v>
      </c>
      <c r="AL509" s="72" t="s">
        <v>3894</v>
      </c>
      <c r="AM509" s="54" t="s">
        <v>4179</v>
      </c>
      <c r="AN509" s="34" t="s">
        <v>525</v>
      </c>
    </row>
    <row r="510" spans="2:40" x14ac:dyDescent="0.3">
      <c r="B510" s="18" t="s">
        <v>1735</v>
      </c>
      <c r="C510" s="47" t="s">
        <v>923</v>
      </c>
      <c r="D510" s="15" t="s">
        <v>586</v>
      </c>
      <c r="E510" s="68" t="s">
        <v>2</v>
      </c>
      <c r="F510" s="55" t="s">
        <v>2</v>
      </c>
      <c r="G510" s="40" t="s">
        <v>2</v>
      </c>
      <c r="H510" s="71" t="s">
        <v>2745</v>
      </c>
      <c r="I510" s="67" t="s">
        <v>3660</v>
      </c>
      <c r="J510" s="73" t="s">
        <v>270</v>
      </c>
      <c r="K510" s="4">
        <v>3166039</v>
      </c>
      <c r="L510" s="41">
        <v>91.783000000000001</v>
      </c>
      <c r="M510" s="4">
        <v>2905885</v>
      </c>
      <c r="N510" s="4">
        <v>3166039</v>
      </c>
      <c r="O510" s="4">
        <v>3166039</v>
      </c>
      <c r="P510" s="4">
        <v>0</v>
      </c>
      <c r="Q510" s="4">
        <v>0</v>
      </c>
      <c r="R510" s="4">
        <v>0</v>
      </c>
      <c r="S510" s="4">
        <v>0</v>
      </c>
      <c r="T510" s="23">
        <v>2.73</v>
      </c>
      <c r="U510" s="23">
        <v>2.73</v>
      </c>
      <c r="V510" s="5" t="s">
        <v>3895</v>
      </c>
      <c r="W510" s="4">
        <v>18247</v>
      </c>
      <c r="X510" s="4">
        <v>86433</v>
      </c>
      <c r="Y510" s="14">
        <v>42677</v>
      </c>
      <c r="Z510" s="14">
        <v>47953</v>
      </c>
      <c r="AA510" s="2"/>
      <c r="AB510" s="69" t="s">
        <v>2783</v>
      </c>
      <c r="AC510" s="5" t="s">
        <v>2</v>
      </c>
      <c r="AD510" s="2"/>
      <c r="AE510" s="6"/>
      <c r="AF510" s="23"/>
      <c r="AG510" s="6"/>
      <c r="AH510" s="5" t="s">
        <v>2</v>
      </c>
      <c r="AI510" s="5" t="s">
        <v>586</v>
      </c>
      <c r="AJ510" s="5" t="s">
        <v>2</v>
      </c>
      <c r="AK510" s="21" t="s">
        <v>2</v>
      </c>
      <c r="AL510" s="72" t="s">
        <v>3894</v>
      </c>
      <c r="AM510" s="54" t="s">
        <v>4179</v>
      </c>
      <c r="AN510" s="34" t="s">
        <v>1170</v>
      </c>
    </row>
    <row r="511" spans="2:40" x14ac:dyDescent="0.3">
      <c r="B511" s="18" t="s">
        <v>2848</v>
      </c>
      <c r="C511" s="47" t="s">
        <v>924</v>
      </c>
      <c r="D511" s="15" t="s">
        <v>3494</v>
      </c>
      <c r="E511" s="68" t="s">
        <v>2</v>
      </c>
      <c r="F511" s="55" t="s">
        <v>2</v>
      </c>
      <c r="G511" s="40" t="s">
        <v>2</v>
      </c>
      <c r="H511" s="71" t="s">
        <v>3894</v>
      </c>
      <c r="I511" s="67" t="s">
        <v>8</v>
      </c>
      <c r="J511" s="73" t="s">
        <v>2312</v>
      </c>
      <c r="K511" s="4">
        <v>5340650</v>
      </c>
      <c r="L511" s="41">
        <v>96.233999999999995</v>
      </c>
      <c r="M511" s="4">
        <v>4811700</v>
      </c>
      <c r="N511" s="4">
        <v>5000000</v>
      </c>
      <c r="O511" s="4">
        <v>5186109</v>
      </c>
      <c r="P511" s="4">
        <v>0</v>
      </c>
      <c r="Q511" s="4">
        <v>-45975</v>
      </c>
      <c r="R511" s="4">
        <v>0</v>
      </c>
      <c r="S511" s="4">
        <v>0</v>
      </c>
      <c r="T511" s="23">
        <v>4.33</v>
      </c>
      <c r="U511" s="23">
        <v>3.2829999999999999</v>
      </c>
      <c r="V511" s="5" t="s">
        <v>329</v>
      </c>
      <c r="W511" s="4">
        <v>11426</v>
      </c>
      <c r="X511" s="4">
        <v>216500</v>
      </c>
      <c r="Y511" s="14">
        <v>43647</v>
      </c>
      <c r="Z511" s="14">
        <v>46294</v>
      </c>
      <c r="AA511" s="2"/>
      <c r="AB511" s="69" t="s">
        <v>2783</v>
      </c>
      <c r="AC511" s="5" t="s">
        <v>2</v>
      </c>
      <c r="AD511" s="2"/>
      <c r="AE511" s="6"/>
      <c r="AF511" s="23"/>
      <c r="AG511" s="6"/>
      <c r="AH511" s="5" t="s">
        <v>2</v>
      </c>
      <c r="AI511" s="5" t="s">
        <v>3494</v>
      </c>
      <c r="AJ511" s="5" t="s">
        <v>2</v>
      </c>
      <c r="AK511" s="21" t="s">
        <v>2</v>
      </c>
      <c r="AL511" s="72" t="s">
        <v>2745</v>
      </c>
      <c r="AM511" s="54" t="s">
        <v>4179</v>
      </c>
      <c r="AN511" s="34" t="s">
        <v>3085</v>
      </c>
    </row>
    <row r="512" spans="2:40" x14ac:dyDescent="0.3">
      <c r="B512" s="18" t="s">
        <v>4313</v>
      </c>
      <c r="C512" s="47" t="s">
        <v>2033</v>
      </c>
      <c r="D512" s="15" t="s">
        <v>3494</v>
      </c>
      <c r="E512" s="68" t="s">
        <v>2</v>
      </c>
      <c r="F512" s="55" t="s">
        <v>2</v>
      </c>
      <c r="G512" s="40" t="s">
        <v>2</v>
      </c>
      <c r="H512" s="71" t="s">
        <v>3894</v>
      </c>
      <c r="I512" s="67" t="s">
        <v>8</v>
      </c>
      <c r="J512" s="73" t="s">
        <v>2312</v>
      </c>
      <c r="K512" s="4">
        <v>3000000</v>
      </c>
      <c r="L512" s="41">
        <v>90.582999999999998</v>
      </c>
      <c r="M512" s="4">
        <v>2717490</v>
      </c>
      <c r="N512" s="4">
        <v>3000000</v>
      </c>
      <c r="O512" s="4">
        <v>3000000</v>
      </c>
      <c r="P512" s="4">
        <v>0</v>
      </c>
      <c r="Q512" s="4">
        <v>0</v>
      </c>
      <c r="R512" s="4">
        <v>0</v>
      </c>
      <c r="S512" s="4">
        <v>0</v>
      </c>
      <c r="T512" s="23">
        <v>3.04</v>
      </c>
      <c r="U512" s="23">
        <v>3.052</v>
      </c>
      <c r="V512" s="5" t="s">
        <v>329</v>
      </c>
      <c r="W512" s="4">
        <v>4813</v>
      </c>
      <c r="X512" s="4">
        <v>91200</v>
      </c>
      <c r="Y512" s="14">
        <v>44056</v>
      </c>
      <c r="Z512" s="14">
        <v>46612</v>
      </c>
      <c r="AA512" s="2"/>
      <c r="AB512" s="69" t="s">
        <v>2783</v>
      </c>
      <c r="AC512" s="5" t="s">
        <v>2</v>
      </c>
      <c r="AD512" s="2"/>
      <c r="AE512" s="10"/>
      <c r="AF512" s="23"/>
      <c r="AG512" s="6"/>
      <c r="AH512" s="5" t="s">
        <v>2</v>
      </c>
      <c r="AI512" s="5" t="s">
        <v>3494</v>
      </c>
      <c r="AJ512" s="5" t="s">
        <v>2</v>
      </c>
      <c r="AK512" s="21" t="s">
        <v>2</v>
      </c>
      <c r="AL512" s="72" t="s">
        <v>2745</v>
      </c>
      <c r="AM512" s="54" t="s">
        <v>4179</v>
      </c>
      <c r="AN512" s="34" t="s">
        <v>3085</v>
      </c>
    </row>
    <row r="513" spans="2:40" x14ac:dyDescent="0.3">
      <c r="B513" s="18" t="s">
        <v>925</v>
      </c>
      <c r="C513" s="47" t="s">
        <v>2849</v>
      </c>
      <c r="D513" s="15" t="s">
        <v>2595</v>
      </c>
      <c r="E513" s="68" t="s">
        <v>2</v>
      </c>
      <c r="F513" s="55" t="s">
        <v>2</v>
      </c>
      <c r="G513" s="40" t="s">
        <v>2</v>
      </c>
      <c r="H513" s="71" t="s">
        <v>2745</v>
      </c>
      <c r="I513" s="67" t="s">
        <v>1414</v>
      </c>
      <c r="J513" s="73" t="s">
        <v>270</v>
      </c>
      <c r="K513" s="4">
        <v>3000000</v>
      </c>
      <c r="L513" s="41">
        <v>97.195999999999998</v>
      </c>
      <c r="M513" s="4">
        <v>2915880</v>
      </c>
      <c r="N513" s="4">
        <v>3000000</v>
      </c>
      <c r="O513" s="4">
        <v>3000000</v>
      </c>
      <c r="P513" s="4">
        <v>0</v>
      </c>
      <c r="Q513" s="4">
        <v>0</v>
      </c>
      <c r="R513" s="4">
        <v>0</v>
      </c>
      <c r="S513" s="4">
        <v>0</v>
      </c>
      <c r="T513" s="23">
        <v>2.41</v>
      </c>
      <c r="U513" s="23">
        <v>2.41</v>
      </c>
      <c r="V513" s="5" t="s">
        <v>3898</v>
      </c>
      <c r="W513" s="4">
        <v>3013</v>
      </c>
      <c r="X513" s="4">
        <v>72300</v>
      </c>
      <c r="Y513" s="14">
        <v>44181</v>
      </c>
      <c r="Z513" s="14">
        <v>45276</v>
      </c>
      <c r="AA513" s="2"/>
      <c r="AB513" s="69" t="s">
        <v>2783</v>
      </c>
      <c r="AC513" s="5" t="s">
        <v>2</v>
      </c>
      <c r="AD513" s="2"/>
      <c r="AE513" s="10"/>
      <c r="AF513" s="23"/>
      <c r="AG513" s="10"/>
      <c r="AH513" s="5" t="s">
        <v>2</v>
      </c>
      <c r="AI513" s="5" t="s">
        <v>1476</v>
      </c>
      <c r="AJ513" s="5" t="s">
        <v>1476</v>
      </c>
      <c r="AK513" s="21" t="s">
        <v>2</v>
      </c>
      <c r="AL513" s="72" t="s">
        <v>2745</v>
      </c>
      <c r="AM513" s="54" t="s">
        <v>4179</v>
      </c>
      <c r="AN513" s="34" t="s">
        <v>512</v>
      </c>
    </row>
    <row r="514" spans="2:40" x14ac:dyDescent="0.3">
      <c r="B514" s="18" t="s">
        <v>2034</v>
      </c>
      <c r="C514" s="47" t="s">
        <v>4314</v>
      </c>
      <c r="D514" s="15" t="s">
        <v>587</v>
      </c>
      <c r="E514" s="68" t="s">
        <v>2</v>
      </c>
      <c r="F514" s="55" t="s">
        <v>2</v>
      </c>
      <c r="G514" s="40" t="s">
        <v>2</v>
      </c>
      <c r="H514" s="71" t="s">
        <v>2745</v>
      </c>
      <c r="I514" s="67" t="s">
        <v>3660</v>
      </c>
      <c r="J514" s="73" t="s">
        <v>270</v>
      </c>
      <c r="K514" s="4">
        <v>2370199</v>
      </c>
      <c r="L514" s="41">
        <v>100.199</v>
      </c>
      <c r="M514" s="4">
        <v>2178561</v>
      </c>
      <c r="N514" s="4">
        <v>2174235</v>
      </c>
      <c r="O514" s="4">
        <v>2216893</v>
      </c>
      <c r="P514" s="4">
        <v>0</v>
      </c>
      <c r="Q514" s="4">
        <v>-27774</v>
      </c>
      <c r="R514" s="4">
        <v>0</v>
      </c>
      <c r="S514" s="4">
        <v>0</v>
      </c>
      <c r="T514" s="23">
        <v>5.6</v>
      </c>
      <c r="U514" s="23">
        <v>3.0390000000000001</v>
      </c>
      <c r="V514" s="5" t="s">
        <v>3895</v>
      </c>
      <c r="W514" s="4">
        <v>25704</v>
      </c>
      <c r="X514" s="4">
        <v>121757</v>
      </c>
      <c r="Y514" s="14">
        <v>42816</v>
      </c>
      <c r="Z514" s="14">
        <v>45382</v>
      </c>
      <c r="AA514" s="2"/>
      <c r="AB514" s="69" t="s">
        <v>2783</v>
      </c>
      <c r="AC514" s="5" t="s">
        <v>2</v>
      </c>
      <c r="AD514" s="2"/>
      <c r="AE514" s="6"/>
      <c r="AF514" s="23"/>
      <c r="AG514" s="6"/>
      <c r="AH514" s="5" t="s">
        <v>2</v>
      </c>
      <c r="AI514" s="5" t="s">
        <v>587</v>
      </c>
      <c r="AJ514" s="5" t="s">
        <v>2</v>
      </c>
      <c r="AK514" s="21" t="s">
        <v>2</v>
      </c>
      <c r="AL514" s="72" t="s">
        <v>3894</v>
      </c>
      <c r="AM514" s="54" t="s">
        <v>4179</v>
      </c>
      <c r="AN514" s="34" t="s">
        <v>1170</v>
      </c>
    </row>
    <row r="515" spans="2:40" x14ac:dyDescent="0.3">
      <c r="B515" s="18" t="s">
        <v>3181</v>
      </c>
      <c r="C515" s="47" t="s">
        <v>2035</v>
      </c>
      <c r="D515" s="15" t="s">
        <v>2850</v>
      </c>
      <c r="E515" s="68" t="s">
        <v>2</v>
      </c>
      <c r="F515" s="55" t="s">
        <v>2</v>
      </c>
      <c r="G515" s="40" t="s">
        <v>2745</v>
      </c>
      <c r="H515" s="71" t="s">
        <v>3894</v>
      </c>
      <c r="I515" s="67" t="s">
        <v>1164</v>
      </c>
      <c r="J515" s="73" t="s">
        <v>270</v>
      </c>
      <c r="K515" s="4">
        <v>2751231</v>
      </c>
      <c r="L515" s="41">
        <v>99.537999999999997</v>
      </c>
      <c r="M515" s="4">
        <v>2787064</v>
      </c>
      <c r="N515" s="4">
        <v>2800000</v>
      </c>
      <c r="O515" s="4">
        <v>2797998</v>
      </c>
      <c r="P515" s="4">
        <v>0</v>
      </c>
      <c r="Q515" s="4">
        <v>11809</v>
      </c>
      <c r="R515" s="4">
        <v>0</v>
      </c>
      <c r="S515" s="4">
        <v>0</v>
      </c>
      <c r="T515" s="23">
        <v>3.75</v>
      </c>
      <c r="U515" s="23">
        <v>4.1879999999999997</v>
      </c>
      <c r="V515" s="5" t="s">
        <v>10</v>
      </c>
      <c r="W515" s="4">
        <v>35000</v>
      </c>
      <c r="X515" s="4">
        <v>105000</v>
      </c>
      <c r="Y515" s="14">
        <v>43385</v>
      </c>
      <c r="Z515" s="14">
        <v>44986</v>
      </c>
      <c r="AA515" s="2"/>
      <c r="AB515" s="69" t="s">
        <v>3892</v>
      </c>
      <c r="AC515" s="5" t="s">
        <v>4178</v>
      </c>
      <c r="AD515" s="2"/>
      <c r="AE515" s="6"/>
      <c r="AF515" s="23"/>
      <c r="AG515" s="6"/>
      <c r="AH515" s="5" t="s">
        <v>91</v>
      </c>
      <c r="AI515" s="5" t="s">
        <v>1736</v>
      </c>
      <c r="AJ515" s="5" t="s">
        <v>2596</v>
      </c>
      <c r="AK515" s="21" t="s">
        <v>2</v>
      </c>
      <c r="AL515" s="72" t="s">
        <v>3894</v>
      </c>
      <c r="AM515" s="54" t="s">
        <v>4179</v>
      </c>
      <c r="AN515" s="34" t="s">
        <v>828</v>
      </c>
    </row>
    <row r="516" spans="2:40" x14ac:dyDescent="0.3">
      <c r="B516" s="18" t="s">
        <v>588</v>
      </c>
      <c r="C516" s="47" t="s">
        <v>3182</v>
      </c>
      <c r="D516" s="15" t="s">
        <v>2850</v>
      </c>
      <c r="E516" s="68" t="s">
        <v>2</v>
      </c>
      <c r="F516" s="55" t="s">
        <v>2</v>
      </c>
      <c r="G516" s="40" t="s">
        <v>2745</v>
      </c>
      <c r="H516" s="71" t="s">
        <v>3894</v>
      </c>
      <c r="I516" s="67" t="s">
        <v>1164</v>
      </c>
      <c r="J516" s="73" t="s">
        <v>270</v>
      </c>
      <c r="K516" s="4">
        <v>3164550</v>
      </c>
      <c r="L516" s="41">
        <v>99.74</v>
      </c>
      <c r="M516" s="4">
        <v>2992200</v>
      </c>
      <c r="N516" s="4">
        <v>3000000</v>
      </c>
      <c r="O516" s="4">
        <v>3093271</v>
      </c>
      <c r="P516" s="4">
        <v>0</v>
      </c>
      <c r="Q516" s="4">
        <v>-28912</v>
      </c>
      <c r="R516" s="4">
        <v>0</v>
      </c>
      <c r="S516" s="4">
        <v>0</v>
      </c>
      <c r="T516" s="23">
        <v>5.5</v>
      </c>
      <c r="U516" s="23">
        <v>4.3680000000000003</v>
      </c>
      <c r="V516" s="5" t="s">
        <v>1916</v>
      </c>
      <c r="W516" s="4">
        <v>76083</v>
      </c>
      <c r="X516" s="4">
        <v>165000</v>
      </c>
      <c r="Y516" s="14">
        <v>43990</v>
      </c>
      <c r="Z516" s="14">
        <v>46037</v>
      </c>
      <c r="AA516" s="2"/>
      <c r="AB516" s="69" t="s">
        <v>3892</v>
      </c>
      <c r="AC516" s="5" t="s">
        <v>4178</v>
      </c>
      <c r="AD516" s="2"/>
      <c r="AE516" s="9">
        <v>46006</v>
      </c>
      <c r="AF516" s="23">
        <v>100</v>
      </c>
      <c r="AG516" s="9">
        <v>46006</v>
      </c>
      <c r="AH516" s="5" t="s">
        <v>91</v>
      </c>
      <c r="AI516" s="5" t="s">
        <v>1736</v>
      </c>
      <c r="AJ516" s="5" t="s">
        <v>1736</v>
      </c>
      <c r="AK516" s="21" t="s">
        <v>2</v>
      </c>
      <c r="AL516" s="72" t="s">
        <v>3894</v>
      </c>
      <c r="AM516" s="54" t="s">
        <v>4179</v>
      </c>
      <c r="AN516" s="34" t="s">
        <v>828</v>
      </c>
    </row>
    <row r="517" spans="2:40" x14ac:dyDescent="0.3">
      <c r="B517" s="18" t="s">
        <v>1737</v>
      </c>
      <c r="C517" s="47" t="s">
        <v>2851</v>
      </c>
      <c r="D517" s="15" t="s">
        <v>3495</v>
      </c>
      <c r="E517" s="68" t="s">
        <v>2</v>
      </c>
      <c r="F517" s="55" t="s">
        <v>2</v>
      </c>
      <c r="G517" s="40" t="s">
        <v>2</v>
      </c>
      <c r="H517" s="71" t="s">
        <v>3894</v>
      </c>
      <c r="I517" s="67" t="s">
        <v>3408</v>
      </c>
      <c r="J517" s="73" t="s">
        <v>2312</v>
      </c>
      <c r="K517" s="4">
        <v>5000000</v>
      </c>
      <c r="L517" s="41">
        <v>96.872</v>
      </c>
      <c r="M517" s="4">
        <v>4843600</v>
      </c>
      <c r="N517" s="4">
        <v>5000000</v>
      </c>
      <c r="O517" s="4">
        <v>5000000</v>
      </c>
      <c r="P517" s="4">
        <v>0</v>
      </c>
      <c r="Q517" s="4">
        <v>0</v>
      </c>
      <c r="R517" s="4">
        <v>0</v>
      </c>
      <c r="S517" s="4">
        <v>0</v>
      </c>
      <c r="T517" s="23">
        <v>3.33</v>
      </c>
      <c r="U517" s="23">
        <v>3.331</v>
      </c>
      <c r="V517" s="5" t="s">
        <v>3898</v>
      </c>
      <c r="W517" s="4">
        <v>7400</v>
      </c>
      <c r="X517" s="4">
        <v>166500</v>
      </c>
      <c r="Y517" s="14">
        <v>42957</v>
      </c>
      <c r="Z517" s="14">
        <v>45514</v>
      </c>
      <c r="AA517" s="2"/>
      <c r="AB517" s="69" t="s">
        <v>2783</v>
      </c>
      <c r="AC517" s="5" t="s">
        <v>2</v>
      </c>
      <c r="AD517" s="2"/>
      <c r="AE517" s="10"/>
      <c r="AF517" s="23"/>
      <c r="AG517" s="10"/>
      <c r="AH517" s="5" t="s">
        <v>2</v>
      </c>
      <c r="AI517" s="5" t="s">
        <v>3495</v>
      </c>
      <c r="AJ517" s="5" t="s">
        <v>2</v>
      </c>
      <c r="AK517" s="21" t="s">
        <v>2</v>
      </c>
      <c r="AL517" s="72" t="s">
        <v>2745</v>
      </c>
      <c r="AM517" s="54" t="s">
        <v>4179</v>
      </c>
      <c r="AN517" s="34" t="s">
        <v>3496</v>
      </c>
    </row>
    <row r="518" spans="2:40" x14ac:dyDescent="0.3">
      <c r="B518" s="18" t="s">
        <v>2852</v>
      </c>
      <c r="C518" s="47" t="s">
        <v>3978</v>
      </c>
      <c r="D518" s="15" t="s">
        <v>3495</v>
      </c>
      <c r="E518" s="68" t="s">
        <v>2</v>
      </c>
      <c r="F518" s="55" t="s">
        <v>2</v>
      </c>
      <c r="G518" s="40" t="s">
        <v>2</v>
      </c>
      <c r="H518" s="71" t="s">
        <v>3894</v>
      </c>
      <c r="I518" s="67" t="s">
        <v>3408</v>
      </c>
      <c r="J518" s="73" t="s">
        <v>2312</v>
      </c>
      <c r="K518" s="4">
        <v>5000000</v>
      </c>
      <c r="L518" s="41">
        <v>90.578000000000003</v>
      </c>
      <c r="M518" s="4">
        <v>4528900</v>
      </c>
      <c r="N518" s="4">
        <v>5000000</v>
      </c>
      <c r="O518" s="4">
        <v>5000000</v>
      </c>
      <c r="P518" s="4">
        <v>0</v>
      </c>
      <c r="Q518" s="4">
        <v>0</v>
      </c>
      <c r="R518" s="4">
        <v>0</v>
      </c>
      <c r="S518" s="4">
        <v>0</v>
      </c>
      <c r="T518" s="23">
        <v>3.15</v>
      </c>
      <c r="U518" s="23">
        <v>3.15</v>
      </c>
      <c r="V518" s="5" t="s">
        <v>3898</v>
      </c>
      <c r="W518" s="4">
        <v>7000</v>
      </c>
      <c r="X518" s="4">
        <v>157500</v>
      </c>
      <c r="Y518" s="14">
        <v>44194</v>
      </c>
      <c r="Z518" s="14">
        <v>46758</v>
      </c>
      <c r="AA518" s="2"/>
      <c r="AB518" s="69" t="s">
        <v>2783</v>
      </c>
      <c r="AC518" s="5" t="s">
        <v>2</v>
      </c>
      <c r="AD518" s="2"/>
      <c r="AE518" s="10"/>
      <c r="AF518" s="23"/>
      <c r="AG518" s="6"/>
      <c r="AH518" s="5" t="s">
        <v>2</v>
      </c>
      <c r="AI518" s="5" t="s">
        <v>3495</v>
      </c>
      <c r="AJ518" s="5" t="s">
        <v>2</v>
      </c>
      <c r="AK518" s="21" t="s">
        <v>2</v>
      </c>
      <c r="AL518" s="72" t="s">
        <v>2745</v>
      </c>
      <c r="AM518" s="54" t="s">
        <v>4179</v>
      </c>
      <c r="AN518" s="34" t="s">
        <v>3496</v>
      </c>
    </row>
    <row r="519" spans="2:40" x14ac:dyDescent="0.3">
      <c r="B519" s="18" t="s">
        <v>3979</v>
      </c>
      <c r="C519" s="47" t="s">
        <v>3183</v>
      </c>
      <c r="D519" s="15" t="s">
        <v>345</v>
      </c>
      <c r="E519" s="68" t="s">
        <v>2</v>
      </c>
      <c r="F519" s="55" t="s">
        <v>2</v>
      </c>
      <c r="G519" s="40" t="s">
        <v>2745</v>
      </c>
      <c r="H519" s="71" t="s">
        <v>2745</v>
      </c>
      <c r="I519" s="67" t="s">
        <v>3660</v>
      </c>
      <c r="J519" s="73" t="s">
        <v>270</v>
      </c>
      <c r="K519" s="4">
        <v>2493175</v>
      </c>
      <c r="L519" s="41">
        <v>99.747</v>
      </c>
      <c r="M519" s="4">
        <v>2493675</v>
      </c>
      <c r="N519" s="4">
        <v>2500000</v>
      </c>
      <c r="O519" s="4">
        <v>2499871</v>
      </c>
      <c r="P519" s="4">
        <v>0</v>
      </c>
      <c r="Q519" s="4">
        <v>1049</v>
      </c>
      <c r="R519" s="4">
        <v>0</v>
      </c>
      <c r="S519" s="4">
        <v>0</v>
      </c>
      <c r="T519" s="23">
        <v>2.7</v>
      </c>
      <c r="U519" s="23">
        <v>2.7429999999999999</v>
      </c>
      <c r="V519" s="5" t="s">
        <v>268</v>
      </c>
      <c r="W519" s="4">
        <v>25500</v>
      </c>
      <c r="X519" s="4">
        <v>67500</v>
      </c>
      <c r="Y519" s="14">
        <v>42403</v>
      </c>
      <c r="Z519" s="14">
        <v>44972</v>
      </c>
      <c r="AA519" s="2"/>
      <c r="AB519" s="69" t="s">
        <v>3892</v>
      </c>
      <c r="AC519" s="5" t="s">
        <v>4178</v>
      </c>
      <c r="AD519" s="2"/>
      <c r="AE519" s="10"/>
      <c r="AF519" s="23"/>
      <c r="AG519" s="6"/>
      <c r="AH519" s="5" t="s">
        <v>92</v>
      </c>
      <c r="AI519" s="5" t="s">
        <v>2036</v>
      </c>
      <c r="AJ519" s="5" t="s">
        <v>2036</v>
      </c>
      <c r="AK519" s="21" t="s">
        <v>2</v>
      </c>
      <c r="AL519" s="72" t="s">
        <v>2745</v>
      </c>
      <c r="AM519" s="54" t="s">
        <v>4179</v>
      </c>
      <c r="AN519" s="34" t="s">
        <v>1170</v>
      </c>
    </row>
    <row r="520" spans="2:40" x14ac:dyDescent="0.3">
      <c r="B520" s="18" t="s">
        <v>589</v>
      </c>
      <c r="C520" s="47" t="s">
        <v>3497</v>
      </c>
      <c r="D520" s="15" t="s">
        <v>345</v>
      </c>
      <c r="E520" s="68" t="s">
        <v>2</v>
      </c>
      <c r="F520" s="55" t="s">
        <v>2</v>
      </c>
      <c r="G520" s="40" t="s">
        <v>2745</v>
      </c>
      <c r="H520" s="71" t="s">
        <v>2745</v>
      </c>
      <c r="I520" s="67" t="s">
        <v>3660</v>
      </c>
      <c r="J520" s="73" t="s">
        <v>270</v>
      </c>
      <c r="K520" s="4">
        <v>5480145</v>
      </c>
      <c r="L520" s="41">
        <v>92.718999999999994</v>
      </c>
      <c r="M520" s="4">
        <v>5099545</v>
      </c>
      <c r="N520" s="4">
        <v>5500000</v>
      </c>
      <c r="O520" s="4">
        <v>5480467</v>
      </c>
      <c r="P520" s="4">
        <v>0</v>
      </c>
      <c r="Q520" s="4">
        <v>322</v>
      </c>
      <c r="R520" s="4">
        <v>0</v>
      </c>
      <c r="S520" s="4">
        <v>0</v>
      </c>
      <c r="T520" s="23">
        <v>4.1500000000000004</v>
      </c>
      <c r="U520" s="23">
        <v>4.194</v>
      </c>
      <c r="V520" s="5" t="s">
        <v>3898</v>
      </c>
      <c r="W520" s="4">
        <v>10144</v>
      </c>
      <c r="X520" s="4">
        <v>74815</v>
      </c>
      <c r="Y520" s="14">
        <v>44783</v>
      </c>
      <c r="Z520" s="14">
        <v>48563</v>
      </c>
      <c r="AA520" s="2"/>
      <c r="AB520" s="69" t="s">
        <v>3892</v>
      </c>
      <c r="AC520" s="5" t="s">
        <v>4178</v>
      </c>
      <c r="AD520" s="2"/>
      <c r="AE520" s="9">
        <v>48472</v>
      </c>
      <c r="AF520" s="23">
        <v>100</v>
      </c>
      <c r="AG520" s="6"/>
      <c r="AH520" s="5" t="s">
        <v>92</v>
      </c>
      <c r="AI520" s="5" t="s">
        <v>2036</v>
      </c>
      <c r="AJ520" s="5" t="s">
        <v>2379</v>
      </c>
      <c r="AK520" s="21" t="s">
        <v>2</v>
      </c>
      <c r="AL520" s="72" t="s">
        <v>2745</v>
      </c>
      <c r="AM520" s="54" t="s">
        <v>4179</v>
      </c>
      <c r="AN520" s="34" t="s">
        <v>1170</v>
      </c>
    </row>
    <row r="521" spans="2:40" x14ac:dyDescent="0.3">
      <c r="B521" s="18" t="s">
        <v>2037</v>
      </c>
      <c r="C521" s="47" t="s">
        <v>4315</v>
      </c>
      <c r="D521" s="15" t="s">
        <v>590</v>
      </c>
      <c r="E521" s="68" t="s">
        <v>2</v>
      </c>
      <c r="F521" s="55" t="s">
        <v>2</v>
      </c>
      <c r="G521" s="40" t="s">
        <v>2</v>
      </c>
      <c r="H521" s="71" t="s">
        <v>3894</v>
      </c>
      <c r="I521" s="67" t="s">
        <v>3408</v>
      </c>
      <c r="J521" s="73" t="s">
        <v>2312</v>
      </c>
      <c r="K521" s="4">
        <v>9000000</v>
      </c>
      <c r="L521" s="41">
        <v>98.528000000000006</v>
      </c>
      <c r="M521" s="4">
        <v>8867520</v>
      </c>
      <c r="N521" s="4">
        <v>9000000</v>
      </c>
      <c r="O521" s="4">
        <v>9000000</v>
      </c>
      <c r="P521" s="4">
        <v>0</v>
      </c>
      <c r="Q521" s="4">
        <v>0</v>
      </c>
      <c r="R521" s="4">
        <v>0</v>
      </c>
      <c r="S521" s="4">
        <v>0</v>
      </c>
      <c r="T521" s="23">
        <v>3.2</v>
      </c>
      <c r="U521" s="23">
        <v>3.2</v>
      </c>
      <c r="V521" s="5" t="s">
        <v>268</v>
      </c>
      <c r="W521" s="4">
        <v>108800</v>
      </c>
      <c r="X521" s="4">
        <v>288000</v>
      </c>
      <c r="Y521" s="14">
        <v>42600</v>
      </c>
      <c r="Z521" s="14">
        <v>45156</v>
      </c>
      <c r="AA521" s="2"/>
      <c r="AB521" s="69" t="s">
        <v>2783</v>
      </c>
      <c r="AC521" s="5" t="s">
        <v>2</v>
      </c>
      <c r="AD521" s="2"/>
      <c r="AE521" s="10"/>
      <c r="AF521" s="23"/>
      <c r="AG521" s="6"/>
      <c r="AH521" s="5" t="s">
        <v>2</v>
      </c>
      <c r="AI521" s="5" t="s">
        <v>926</v>
      </c>
      <c r="AJ521" s="5" t="s">
        <v>3184</v>
      </c>
      <c r="AK521" s="21" t="s">
        <v>2</v>
      </c>
      <c r="AL521" s="72" t="s">
        <v>3894</v>
      </c>
      <c r="AM521" s="54" t="s">
        <v>4179</v>
      </c>
      <c r="AN521" s="34" t="s">
        <v>3496</v>
      </c>
    </row>
    <row r="522" spans="2:40" x14ac:dyDescent="0.3">
      <c r="B522" s="18" t="s">
        <v>3185</v>
      </c>
      <c r="C522" s="47" t="s">
        <v>927</v>
      </c>
      <c r="D522" s="15" t="s">
        <v>590</v>
      </c>
      <c r="E522" s="68" t="s">
        <v>2</v>
      </c>
      <c r="F522" s="55" t="s">
        <v>2</v>
      </c>
      <c r="G522" s="40" t="s">
        <v>2</v>
      </c>
      <c r="H522" s="71" t="s">
        <v>3894</v>
      </c>
      <c r="I522" s="67" t="s">
        <v>3408</v>
      </c>
      <c r="J522" s="73" t="s">
        <v>874</v>
      </c>
      <c r="K522" s="4">
        <v>6000000</v>
      </c>
      <c r="L522" s="41">
        <v>104.16500000000001</v>
      </c>
      <c r="M522" s="4">
        <v>6249900</v>
      </c>
      <c r="N522" s="4">
        <v>6000000</v>
      </c>
      <c r="O522" s="4">
        <v>6000000</v>
      </c>
      <c r="P522" s="4">
        <v>0</v>
      </c>
      <c r="Q522" s="4">
        <v>0</v>
      </c>
      <c r="R522" s="4">
        <v>0</v>
      </c>
      <c r="S522" s="4">
        <v>0</v>
      </c>
      <c r="T522" s="23">
        <v>6.14</v>
      </c>
      <c r="U522" s="23">
        <v>6.14</v>
      </c>
      <c r="V522" s="5" t="s">
        <v>3898</v>
      </c>
      <c r="W522" s="4">
        <v>16373</v>
      </c>
      <c r="X522" s="4">
        <v>0</v>
      </c>
      <c r="Y522" s="14">
        <v>44910</v>
      </c>
      <c r="Z522" s="14">
        <v>48563</v>
      </c>
      <c r="AA522" s="2"/>
      <c r="AB522" s="69" t="s">
        <v>2783</v>
      </c>
      <c r="AC522" s="5" t="s">
        <v>2</v>
      </c>
      <c r="AD522" s="2"/>
      <c r="AE522" s="10"/>
      <c r="AF522" s="23"/>
      <c r="AG522" s="6"/>
      <c r="AH522" s="5" t="s">
        <v>2</v>
      </c>
      <c r="AI522" s="5" t="s">
        <v>926</v>
      </c>
      <c r="AJ522" s="5" t="s">
        <v>3184</v>
      </c>
      <c r="AK522" s="21" t="s">
        <v>2</v>
      </c>
      <c r="AL522" s="72" t="s">
        <v>3894</v>
      </c>
      <c r="AM522" s="54" t="s">
        <v>4179</v>
      </c>
      <c r="AN522" s="34" t="s">
        <v>928</v>
      </c>
    </row>
    <row r="523" spans="2:40" x14ac:dyDescent="0.3">
      <c r="B523" s="18" t="s">
        <v>4316</v>
      </c>
      <c r="C523" s="47" t="s">
        <v>93</v>
      </c>
      <c r="D523" s="15" t="s">
        <v>4317</v>
      </c>
      <c r="E523" s="68" t="s">
        <v>2</v>
      </c>
      <c r="F523" s="55" t="s">
        <v>2</v>
      </c>
      <c r="G523" s="40" t="s">
        <v>2745</v>
      </c>
      <c r="H523" s="71" t="s">
        <v>2745</v>
      </c>
      <c r="I523" s="67" t="s">
        <v>1164</v>
      </c>
      <c r="J523" s="73" t="s">
        <v>270</v>
      </c>
      <c r="K523" s="4">
        <v>1850000</v>
      </c>
      <c r="L523" s="41">
        <v>78.039000000000001</v>
      </c>
      <c r="M523" s="4">
        <v>1443722</v>
      </c>
      <c r="N523" s="4">
        <v>1850000</v>
      </c>
      <c r="O523" s="4">
        <v>1850000</v>
      </c>
      <c r="P523" s="4">
        <v>0</v>
      </c>
      <c r="Q523" s="4">
        <v>0</v>
      </c>
      <c r="R523" s="4">
        <v>0</v>
      </c>
      <c r="S523" s="4">
        <v>0</v>
      </c>
      <c r="T523" s="23">
        <v>1.651</v>
      </c>
      <c r="U523" s="23">
        <v>1.651</v>
      </c>
      <c r="V523" s="5" t="s">
        <v>268</v>
      </c>
      <c r="W523" s="4">
        <v>12726</v>
      </c>
      <c r="X523" s="4">
        <v>30544</v>
      </c>
      <c r="Y523" s="14">
        <v>44055</v>
      </c>
      <c r="Z523" s="14">
        <v>47696</v>
      </c>
      <c r="AA523" s="2"/>
      <c r="AB523" s="69" t="s">
        <v>3892</v>
      </c>
      <c r="AC523" s="5" t="s">
        <v>7</v>
      </c>
      <c r="AD523" s="2"/>
      <c r="AE523" s="14">
        <v>47604</v>
      </c>
      <c r="AF523" s="23">
        <v>100</v>
      </c>
      <c r="AG523" s="6"/>
      <c r="AH523" s="5" t="s">
        <v>346</v>
      </c>
      <c r="AI523" s="5" t="s">
        <v>4317</v>
      </c>
      <c r="AJ523" s="5" t="s">
        <v>2</v>
      </c>
      <c r="AK523" s="21" t="s">
        <v>2</v>
      </c>
      <c r="AL523" s="72" t="s">
        <v>3894</v>
      </c>
      <c r="AM523" s="54" t="s">
        <v>4179</v>
      </c>
      <c r="AN523" s="34" t="s">
        <v>1625</v>
      </c>
    </row>
    <row r="524" spans="2:40" x14ac:dyDescent="0.3">
      <c r="B524" s="18" t="s">
        <v>929</v>
      </c>
      <c r="C524" s="47" t="s">
        <v>1738</v>
      </c>
      <c r="D524" s="15" t="s">
        <v>1739</v>
      </c>
      <c r="E524" s="68" t="s">
        <v>2</v>
      </c>
      <c r="F524" s="55" t="s">
        <v>2</v>
      </c>
      <c r="G524" s="40" t="s">
        <v>2</v>
      </c>
      <c r="H524" s="71" t="s">
        <v>2745</v>
      </c>
      <c r="I524" s="67" t="s">
        <v>3408</v>
      </c>
      <c r="J524" s="73" t="s">
        <v>270</v>
      </c>
      <c r="K524" s="4">
        <v>5743893</v>
      </c>
      <c r="L524" s="41">
        <v>92.167000000000002</v>
      </c>
      <c r="M524" s="4">
        <v>5852605</v>
      </c>
      <c r="N524" s="4">
        <v>6350000</v>
      </c>
      <c r="O524" s="4">
        <v>6046622</v>
      </c>
      <c r="P524" s="4">
        <v>0</v>
      </c>
      <c r="Q524" s="4">
        <v>78715</v>
      </c>
      <c r="R524" s="4">
        <v>0</v>
      </c>
      <c r="S524" s="4">
        <v>0</v>
      </c>
      <c r="T524" s="23">
        <v>2.35</v>
      </c>
      <c r="U524" s="23">
        <v>3.8069999999999999</v>
      </c>
      <c r="V524" s="5" t="s">
        <v>1916</v>
      </c>
      <c r="W524" s="4">
        <v>69224</v>
      </c>
      <c r="X524" s="4">
        <v>149225</v>
      </c>
      <c r="Y524" s="14">
        <v>43437</v>
      </c>
      <c r="Z524" s="14">
        <v>46217</v>
      </c>
      <c r="AA524" s="2"/>
      <c r="AB524" s="69" t="s">
        <v>3892</v>
      </c>
      <c r="AC524" s="5" t="s">
        <v>4178</v>
      </c>
      <c r="AD524" s="2"/>
      <c r="AE524" s="10"/>
      <c r="AF524" s="23"/>
      <c r="AG524" s="6"/>
      <c r="AH524" s="5" t="s">
        <v>3980</v>
      </c>
      <c r="AI524" s="5" t="s">
        <v>1252</v>
      </c>
      <c r="AJ524" s="5" t="s">
        <v>824</v>
      </c>
      <c r="AK524" s="21" t="s">
        <v>2</v>
      </c>
      <c r="AL524" s="72" t="s">
        <v>2745</v>
      </c>
      <c r="AM524" s="54" t="s">
        <v>4179</v>
      </c>
      <c r="AN524" s="34" t="s">
        <v>2278</v>
      </c>
    </row>
    <row r="525" spans="2:40" x14ac:dyDescent="0.3">
      <c r="B525" s="18" t="s">
        <v>2038</v>
      </c>
      <c r="C525" s="47" t="s">
        <v>1477</v>
      </c>
      <c r="D525" s="15" t="s">
        <v>1739</v>
      </c>
      <c r="E525" s="68" t="s">
        <v>2</v>
      </c>
      <c r="F525" s="55" t="s">
        <v>2</v>
      </c>
      <c r="G525" s="40" t="s">
        <v>2</v>
      </c>
      <c r="H525" s="71" t="s">
        <v>2745</v>
      </c>
      <c r="I525" s="67" t="s">
        <v>3408</v>
      </c>
      <c r="J525" s="73" t="s">
        <v>270</v>
      </c>
      <c r="K525" s="4">
        <v>4982050</v>
      </c>
      <c r="L525" s="41">
        <v>94.152000000000001</v>
      </c>
      <c r="M525" s="4">
        <v>4707600</v>
      </c>
      <c r="N525" s="4">
        <v>5000000</v>
      </c>
      <c r="O525" s="4">
        <v>4992386</v>
      </c>
      <c r="P525" s="4">
        <v>0</v>
      </c>
      <c r="Q525" s="4">
        <v>3584</v>
      </c>
      <c r="R525" s="4">
        <v>0</v>
      </c>
      <c r="S525" s="4">
        <v>0</v>
      </c>
      <c r="T525" s="23">
        <v>2</v>
      </c>
      <c r="U525" s="23">
        <v>2.0760000000000001</v>
      </c>
      <c r="V525" s="5" t="s">
        <v>1916</v>
      </c>
      <c r="W525" s="4">
        <v>44167</v>
      </c>
      <c r="X525" s="4">
        <v>100000</v>
      </c>
      <c r="Y525" s="14">
        <v>43844</v>
      </c>
      <c r="Z525" s="14">
        <v>45679</v>
      </c>
      <c r="AA525" s="2"/>
      <c r="AB525" s="69" t="s">
        <v>3892</v>
      </c>
      <c r="AC525" s="5" t="s">
        <v>4178</v>
      </c>
      <c r="AD525" s="2"/>
      <c r="AE525" s="10"/>
      <c r="AF525" s="23"/>
      <c r="AG525" s="10"/>
      <c r="AH525" s="5" t="s">
        <v>3980</v>
      </c>
      <c r="AI525" s="5" t="s">
        <v>1252</v>
      </c>
      <c r="AJ525" s="5" t="s">
        <v>824</v>
      </c>
      <c r="AK525" s="21" t="s">
        <v>2</v>
      </c>
      <c r="AL525" s="72" t="s">
        <v>2745</v>
      </c>
      <c r="AM525" s="54" t="s">
        <v>4179</v>
      </c>
      <c r="AN525" s="34" t="s">
        <v>2278</v>
      </c>
    </row>
    <row r="526" spans="2:40" x14ac:dyDescent="0.3">
      <c r="B526" s="18" t="s">
        <v>3981</v>
      </c>
      <c r="C526" s="47" t="s">
        <v>347</v>
      </c>
      <c r="D526" s="15" t="s">
        <v>1739</v>
      </c>
      <c r="E526" s="68" t="s">
        <v>2</v>
      </c>
      <c r="F526" s="55" t="s">
        <v>2</v>
      </c>
      <c r="G526" s="40" t="s">
        <v>2</v>
      </c>
      <c r="H526" s="71" t="s">
        <v>2745</v>
      </c>
      <c r="I526" s="67" t="s">
        <v>3408</v>
      </c>
      <c r="J526" s="73" t="s">
        <v>270</v>
      </c>
      <c r="K526" s="4">
        <v>19966200</v>
      </c>
      <c r="L526" s="41">
        <v>76.754999999999995</v>
      </c>
      <c r="M526" s="4">
        <v>15351000</v>
      </c>
      <c r="N526" s="4">
        <v>20000000</v>
      </c>
      <c r="O526" s="4">
        <v>19973943</v>
      </c>
      <c r="P526" s="4">
        <v>0</v>
      </c>
      <c r="Q526" s="4">
        <v>3253</v>
      </c>
      <c r="R526" s="4">
        <v>0</v>
      </c>
      <c r="S526" s="4">
        <v>0</v>
      </c>
      <c r="T526" s="23">
        <v>1.2</v>
      </c>
      <c r="U526" s="23">
        <v>1.218</v>
      </c>
      <c r="V526" s="5" t="s">
        <v>268</v>
      </c>
      <c r="W526" s="4">
        <v>96000</v>
      </c>
      <c r="X526" s="4">
        <v>240000</v>
      </c>
      <c r="Y526" s="14">
        <v>44047</v>
      </c>
      <c r="Z526" s="14">
        <v>47702</v>
      </c>
      <c r="AA526" s="2"/>
      <c r="AB526" s="69" t="s">
        <v>3892</v>
      </c>
      <c r="AC526" s="5" t="s">
        <v>4178</v>
      </c>
      <c r="AD526" s="2"/>
      <c r="AE526" s="6"/>
      <c r="AF526" s="23"/>
      <c r="AG526" s="6"/>
      <c r="AH526" s="5" t="s">
        <v>3980</v>
      </c>
      <c r="AI526" s="5" t="s">
        <v>1252</v>
      </c>
      <c r="AJ526" s="5" t="s">
        <v>824</v>
      </c>
      <c r="AK526" s="21" t="s">
        <v>2</v>
      </c>
      <c r="AL526" s="72" t="s">
        <v>2745</v>
      </c>
      <c r="AM526" s="54" t="s">
        <v>4179</v>
      </c>
      <c r="AN526" s="34" t="s">
        <v>2278</v>
      </c>
    </row>
    <row r="527" spans="2:40" x14ac:dyDescent="0.3">
      <c r="B527" s="18" t="s">
        <v>591</v>
      </c>
      <c r="C527" s="47" t="s">
        <v>592</v>
      </c>
      <c r="D527" s="15" t="s">
        <v>2039</v>
      </c>
      <c r="E527" s="68" t="s">
        <v>2</v>
      </c>
      <c r="F527" s="55" t="s">
        <v>2</v>
      </c>
      <c r="G527" s="40" t="s">
        <v>2</v>
      </c>
      <c r="H527" s="71" t="s">
        <v>2745</v>
      </c>
      <c r="I527" s="67" t="s">
        <v>2274</v>
      </c>
      <c r="J527" s="73" t="s">
        <v>2</v>
      </c>
      <c r="K527" s="4">
        <v>10553500</v>
      </c>
      <c r="L527" s="41">
        <v>92.709000000000003</v>
      </c>
      <c r="M527" s="4">
        <v>9270900</v>
      </c>
      <c r="N527" s="4">
        <v>10000000</v>
      </c>
      <c r="O527" s="4">
        <v>10327547</v>
      </c>
      <c r="P527" s="4">
        <v>0</v>
      </c>
      <c r="Q527" s="4">
        <v>-90928</v>
      </c>
      <c r="R527" s="4">
        <v>0</v>
      </c>
      <c r="S527" s="4">
        <v>0</v>
      </c>
      <c r="T527" s="23">
        <v>2.66</v>
      </c>
      <c r="U527" s="23">
        <v>1.6839999999999999</v>
      </c>
      <c r="V527" s="5" t="s">
        <v>3898</v>
      </c>
      <c r="W527" s="4">
        <v>8128</v>
      </c>
      <c r="X527" s="4">
        <v>266000</v>
      </c>
      <c r="Y527" s="14">
        <v>43994</v>
      </c>
      <c r="Z527" s="14">
        <v>46193</v>
      </c>
      <c r="AA527" s="2"/>
      <c r="AB527" s="69" t="s">
        <v>1671</v>
      </c>
      <c r="AC527" s="5" t="s">
        <v>2</v>
      </c>
      <c r="AD527" s="2"/>
      <c r="AE527" s="6"/>
      <c r="AF527" s="23"/>
      <c r="AG527" s="6"/>
      <c r="AH527" s="5" t="s">
        <v>4318</v>
      </c>
      <c r="AI527" s="5" t="s">
        <v>2039</v>
      </c>
      <c r="AJ527" s="5" t="s">
        <v>2</v>
      </c>
      <c r="AK527" s="21" t="s">
        <v>2</v>
      </c>
      <c r="AL527" s="72" t="s">
        <v>2745</v>
      </c>
      <c r="AM527" s="54" t="s">
        <v>4179</v>
      </c>
      <c r="AN527" s="34" t="s">
        <v>1740</v>
      </c>
    </row>
    <row r="528" spans="2:40" x14ac:dyDescent="0.3">
      <c r="B528" s="18" t="s">
        <v>1741</v>
      </c>
      <c r="C528" s="47" t="s">
        <v>94</v>
      </c>
      <c r="D528" s="15" t="s">
        <v>2039</v>
      </c>
      <c r="E528" s="68" t="s">
        <v>2</v>
      </c>
      <c r="F528" s="55" t="s">
        <v>2</v>
      </c>
      <c r="G528" s="40" t="s">
        <v>2</v>
      </c>
      <c r="H528" s="71" t="s">
        <v>2745</v>
      </c>
      <c r="I528" s="67" t="s">
        <v>2274</v>
      </c>
      <c r="J528" s="73" t="s">
        <v>2</v>
      </c>
      <c r="K528" s="4">
        <v>2000000</v>
      </c>
      <c r="L528" s="41">
        <v>91.605000000000004</v>
      </c>
      <c r="M528" s="4">
        <v>1832100</v>
      </c>
      <c r="N528" s="4">
        <v>2000000</v>
      </c>
      <c r="O528" s="4">
        <v>2000000</v>
      </c>
      <c r="P528" s="4">
        <v>0</v>
      </c>
      <c r="Q528" s="4">
        <v>0</v>
      </c>
      <c r="R528" s="4">
        <v>0</v>
      </c>
      <c r="S528" s="4">
        <v>0</v>
      </c>
      <c r="T528" s="23">
        <v>1.42</v>
      </c>
      <c r="U528" s="23">
        <v>1.421</v>
      </c>
      <c r="V528" s="5" t="s">
        <v>10</v>
      </c>
      <c r="W528" s="4">
        <v>9467</v>
      </c>
      <c r="X528" s="4">
        <v>28400</v>
      </c>
      <c r="Y528" s="14">
        <v>44074</v>
      </c>
      <c r="Z528" s="14">
        <v>45900</v>
      </c>
      <c r="AA528" s="2"/>
      <c r="AB528" s="69" t="s">
        <v>1671</v>
      </c>
      <c r="AC528" s="5" t="s">
        <v>2</v>
      </c>
      <c r="AD528" s="2"/>
      <c r="AE528" s="6"/>
      <c r="AF528" s="23"/>
      <c r="AG528" s="6"/>
      <c r="AH528" s="5" t="s">
        <v>4318</v>
      </c>
      <c r="AI528" s="5" t="s">
        <v>2039</v>
      </c>
      <c r="AJ528" s="5" t="s">
        <v>2</v>
      </c>
      <c r="AK528" s="21" t="s">
        <v>2</v>
      </c>
      <c r="AL528" s="72" t="s">
        <v>2745</v>
      </c>
      <c r="AM528" s="54" t="s">
        <v>4179</v>
      </c>
      <c r="AN528" s="34" t="s">
        <v>1740</v>
      </c>
    </row>
    <row r="529" spans="2:40" x14ac:dyDescent="0.3">
      <c r="B529" s="18" t="s">
        <v>3186</v>
      </c>
      <c r="C529" s="47" t="s">
        <v>3720</v>
      </c>
      <c r="D529" s="15" t="s">
        <v>2039</v>
      </c>
      <c r="E529" s="68" t="s">
        <v>2</v>
      </c>
      <c r="F529" s="55" t="s">
        <v>2</v>
      </c>
      <c r="G529" s="40" t="s">
        <v>2</v>
      </c>
      <c r="H529" s="71" t="s">
        <v>2745</v>
      </c>
      <c r="I529" s="67" t="s">
        <v>2274</v>
      </c>
      <c r="J529" s="73" t="s">
        <v>2</v>
      </c>
      <c r="K529" s="4">
        <v>3000000</v>
      </c>
      <c r="L529" s="41">
        <v>83.533000000000001</v>
      </c>
      <c r="M529" s="4">
        <v>2505990</v>
      </c>
      <c r="N529" s="4">
        <v>3000000</v>
      </c>
      <c r="O529" s="4">
        <v>3000000</v>
      </c>
      <c r="P529" s="4">
        <v>0</v>
      </c>
      <c r="Q529" s="4">
        <v>0</v>
      </c>
      <c r="R529" s="4">
        <v>0</v>
      </c>
      <c r="S529" s="4">
        <v>0</v>
      </c>
      <c r="T529" s="23">
        <v>1.77</v>
      </c>
      <c r="U529" s="23">
        <v>1.77</v>
      </c>
      <c r="V529" s="5" t="s">
        <v>3895</v>
      </c>
      <c r="W529" s="4">
        <v>10473</v>
      </c>
      <c r="X529" s="4">
        <v>51920</v>
      </c>
      <c r="Y529" s="14">
        <v>44497</v>
      </c>
      <c r="Z529" s="14">
        <v>47054</v>
      </c>
      <c r="AA529" s="2"/>
      <c r="AB529" s="69" t="s">
        <v>1671</v>
      </c>
      <c r="AC529" s="5" t="s">
        <v>2</v>
      </c>
      <c r="AD529" s="2"/>
      <c r="AE529" s="10"/>
      <c r="AF529" s="23"/>
      <c r="AG529" s="6"/>
      <c r="AH529" s="5" t="s">
        <v>4318</v>
      </c>
      <c r="AI529" s="5" t="s">
        <v>2039</v>
      </c>
      <c r="AJ529" s="5" t="s">
        <v>2</v>
      </c>
      <c r="AK529" s="21" t="s">
        <v>2</v>
      </c>
      <c r="AL529" s="72" t="s">
        <v>2745</v>
      </c>
      <c r="AM529" s="54" t="s">
        <v>4179</v>
      </c>
      <c r="AN529" s="34" t="s">
        <v>1740</v>
      </c>
    </row>
    <row r="530" spans="2:40" x14ac:dyDescent="0.3">
      <c r="B530" s="18" t="s">
        <v>4319</v>
      </c>
      <c r="C530" s="47" t="s">
        <v>1253</v>
      </c>
      <c r="D530" s="15" t="s">
        <v>2039</v>
      </c>
      <c r="E530" s="68" t="s">
        <v>2</v>
      </c>
      <c r="F530" s="55" t="s">
        <v>2</v>
      </c>
      <c r="G530" s="40" t="s">
        <v>2</v>
      </c>
      <c r="H530" s="71" t="s">
        <v>2745</v>
      </c>
      <c r="I530" s="67" t="s">
        <v>2274</v>
      </c>
      <c r="J530" s="73" t="s">
        <v>2</v>
      </c>
      <c r="K530" s="4">
        <v>5000000</v>
      </c>
      <c r="L530" s="41">
        <v>75.197000000000003</v>
      </c>
      <c r="M530" s="4">
        <v>3759850</v>
      </c>
      <c r="N530" s="4">
        <v>5000000</v>
      </c>
      <c r="O530" s="4">
        <v>5000000</v>
      </c>
      <c r="P530" s="4">
        <v>0</v>
      </c>
      <c r="Q530" s="4">
        <v>0</v>
      </c>
      <c r="R530" s="4">
        <v>0</v>
      </c>
      <c r="S530" s="4">
        <v>0</v>
      </c>
      <c r="T530" s="23">
        <v>2.19</v>
      </c>
      <c r="U530" s="23">
        <v>2.19</v>
      </c>
      <c r="V530" s="5" t="s">
        <v>268</v>
      </c>
      <c r="W530" s="4">
        <v>39846</v>
      </c>
      <c r="X530" s="4">
        <v>106458</v>
      </c>
      <c r="Y530" s="14">
        <v>44439</v>
      </c>
      <c r="Z530" s="14">
        <v>48822</v>
      </c>
      <c r="AA530" s="2"/>
      <c r="AB530" s="69" t="s">
        <v>1671</v>
      </c>
      <c r="AC530" s="5" t="s">
        <v>2</v>
      </c>
      <c r="AD530" s="2"/>
      <c r="AE530" s="10"/>
      <c r="AF530" s="23"/>
      <c r="AG530" s="10"/>
      <c r="AH530" s="5" t="s">
        <v>4318</v>
      </c>
      <c r="AI530" s="5" t="s">
        <v>2039</v>
      </c>
      <c r="AJ530" s="5" t="s">
        <v>2</v>
      </c>
      <c r="AK530" s="21" t="s">
        <v>2</v>
      </c>
      <c r="AL530" s="72" t="s">
        <v>2745</v>
      </c>
      <c r="AM530" s="54" t="s">
        <v>4179</v>
      </c>
      <c r="AN530" s="34" t="s">
        <v>1740</v>
      </c>
    </row>
    <row r="531" spans="2:40" x14ac:dyDescent="0.3">
      <c r="B531" s="18" t="s">
        <v>930</v>
      </c>
      <c r="C531" s="47" t="s">
        <v>593</v>
      </c>
      <c r="D531" s="15" t="s">
        <v>2040</v>
      </c>
      <c r="E531" s="68" t="s">
        <v>2</v>
      </c>
      <c r="F531" s="55" t="s">
        <v>2</v>
      </c>
      <c r="G531" s="40" t="s">
        <v>2745</v>
      </c>
      <c r="H531" s="71" t="s">
        <v>3894</v>
      </c>
      <c r="I531" s="67" t="s">
        <v>3408</v>
      </c>
      <c r="J531" s="73" t="s">
        <v>270</v>
      </c>
      <c r="K531" s="4">
        <v>9453600</v>
      </c>
      <c r="L531" s="41">
        <v>96.045000000000002</v>
      </c>
      <c r="M531" s="4">
        <v>9604500</v>
      </c>
      <c r="N531" s="4">
        <v>10000000</v>
      </c>
      <c r="O531" s="4">
        <v>9803640</v>
      </c>
      <c r="P531" s="4">
        <v>0</v>
      </c>
      <c r="Q531" s="4">
        <v>90759</v>
      </c>
      <c r="R531" s="4">
        <v>0</v>
      </c>
      <c r="S531" s="4">
        <v>0</v>
      </c>
      <c r="T531" s="23">
        <v>2.93</v>
      </c>
      <c r="U531" s="23">
        <v>3.9420000000000002</v>
      </c>
      <c r="V531" s="5" t="s">
        <v>1916</v>
      </c>
      <c r="W531" s="4">
        <v>135106</v>
      </c>
      <c r="X531" s="4">
        <v>293000</v>
      </c>
      <c r="Y531" s="14">
        <v>43431</v>
      </c>
      <c r="Z531" s="14">
        <v>45672</v>
      </c>
      <c r="AA531" s="2"/>
      <c r="AB531" s="69" t="s">
        <v>3892</v>
      </c>
      <c r="AC531" s="5" t="s">
        <v>4178</v>
      </c>
      <c r="AD531" s="2"/>
      <c r="AE531" s="14">
        <v>45611</v>
      </c>
      <c r="AF531" s="23">
        <v>100</v>
      </c>
      <c r="AG531" s="6"/>
      <c r="AH531" s="5" t="s">
        <v>3721</v>
      </c>
      <c r="AI531" s="5" t="s">
        <v>2040</v>
      </c>
      <c r="AJ531" s="5" t="s">
        <v>2</v>
      </c>
      <c r="AK531" s="21" t="s">
        <v>2</v>
      </c>
      <c r="AL531" s="72" t="s">
        <v>3894</v>
      </c>
      <c r="AM531" s="54" t="s">
        <v>4179</v>
      </c>
      <c r="AN531" s="34" t="s">
        <v>1650</v>
      </c>
    </row>
    <row r="532" spans="2:40" x14ac:dyDescent="0.3">
      <c r="B532" s="18" t="s">
        <v>2041</v>
      </c>
      <c r="C532" s="47" t="s">
        <v>348</v>
      </c>
      <c r="D532" s="15" t="s">
        <v>95</v>
      </c>
      <c r="E532" s="68" t="s">
        <v>2</v>
      </c>
      <c r="F532" s="55" t="s">
        <v>2</v>
      </c>
      <c r="G532" s="40" t="s">
        <v>2745</v>
      </c>
      <c r="H532" s="71" t="s">
        <v>3894</v>
      </c>
      <c r="I532" s="67" t="s">
        <v>3408</v>
      </c>
      <c r="J532" s="73" t="s">
        <v>270</v>
      </c>
      <c r="K532" s="4">
        <v>4930198</v>
      </c>
      <c r="L532" s="41">
        <v>94.885000000000005</v>
      </c>
      <c r="M532" s="4">
        <v>4744250</v>
      </c>
      <c r="N532" s="4">
        <v>5000000</v>
      </c>
      <c r="O532" s="4">
        <v>4961410</v>
      </c>
      <c r="P532" s="4">
        <v>0</v>
      </c>
      <c r="Q532" s="4">
        <v>8134</v>
      </c>
      <c r="R532" s="4">
        <v>0</v>
      </c>
      <c r="S532" s="4">
        <v>0</v>
      </c>
      <c r="T532" s="23">
        <v>4</v>
      </c>
      <c r="U532" s="23">
        <v>4.2</v>
      </c>
      <c r="V532" s="5" t="s">
        <v>3895</v>
      </c>
      <c r="W532" s="4">
        <v>50000</v>
      </c>
      <c r="X532" s="4">
        <v>200000</v>
      </c>
      <c r="Y532" s="14">
        <v>43447</v>
      </c>
      <c r="Z532" s="14">
        <v>46478</v>
      </c>
      <c r="AA532" s="2"/>
      <c r="AB532" s="69" t="s">
        <v>3892</v>
      </c>
      <c r="AC532" s="5" t="s">
        <v>4178</v>
      </c>
      <c r="AD532" s="2"/>
      <c r="AE532" s="14">
        <v>46388</v>
      </c>
      <c r="AF532" s="23">
        <v>100</v>
      </c>
      <c r="AG532" s="6"/>
      <c r="AH532" s="5" t="s">
        <v>2</v>
      </c>
      <c r="AI532" s="5" t="s">
        <v>95</v>
      </c>
      <c r="AJ532" s="5" t="s">
        <v>2</v>
      </c>
      <c r="AK532" s="21" t="s">
        <v>2</v>
      </c>
      <c r="AL532" s="72" t="s">
        <v>3894</v>
      </c>
      <c r="AM532" s="54" t="s">
        <v>4179</v>
      </c>
      <c r="AN532" s="34" t="s">
        <v>1650</v>
      </c>
    </row>
    <row r="533" spans="2:40" x14ac:dyDescent="0.3">
      <c r="B533" s="18" t="s">
        <v>3187</v>
      </c>
      <c r="C533" s="47" t="s">
        <v>3498</v>
      </c>
      <c r="D533" s="15" t="s">
        <v>594</v>
      </c>
      <c r="E533" s="68" t="s">
        <v>2</v>
      </c>
      <c r="F533" s="55" t="s">
        <v>2</v>
      </c>
      <c r="G533" s="40" t="s">
        <v>2</v>
      </c>
      <c r="H533" s="71" t="s">
        <v>2745</v>
      </c>
      <c r="I533" s="67" t="s">
        <v>3408</v>
      </c>
      <c r="J533" s="73" t="s">
        <v>270</v>
      </c>
      <c r="K533" s="4">
        <v>4995400</v>
      </c>
      <c r="L533" s="41">
        <v>84.527000000000001</v>
      </c>
      <c r="M533" s="4">
        <v>4226350</v>
      </c>
      <c r="N533" s="4">
        <v>5000000</v>
      </c>
      <c r="O533" s="4">
        <v>4996393</v>
      </c>
      <c r="P533" s="4">
        <v>0</v>
      </c>
      <c r="Q533" s="4">
        <v>630</v>
      </c>
      <c r="R533" s="4">
        <v>0</v>
      </c>
      <c r="S533" s="4">
        <v>0</v>
      </c>
      <c r="T533" s="23">
        <v>1.7</v>
      </c>
      <c r="U533" s="23">
        <v>1.714</v>
      </c>
      <c r="V533" s="5" t="s">
        <v>3898</v>
      </c>
      <c r="W533" s="4">
        <v>7083</v>
      </c>
      <c r="X533" s="4">
        <v>85000</v>
      </c>
      <c r="Y533" s="14">
        <v>44340</v>
      </c>
      <c r="Z533" s="14">
        <v>46905</v>
      </c>
      <c r="AA533" s="2"/>
      <c r="AB533" s="69" t="s">
        <v>3892</v>
      </c>
      <c r="AC533" s="5" t="s">
        <v>4178</v>
      </c>
      <c r="AD533" s="2"/>
      <c r="AE533" s="10"/>
      <c r="AF533" s="23"/>
      <c r="AG533" s="6"/>
      <c r="AH533" s="5" t="s">
        <v>3982</v>
      </c>
      <c r="AI533" s="5" t="s">
        <v>2042</v>
      </c>
      <c r="AJ533" s="5" t="s">
        <v>824</v>
      </c>
      <c r="AK533" s="21" t="s">
        <v>2</v>
      </c>
      <c r="AL533" s="72" t="s">
        <v>2745</v>
      </c>
      <c r="AM533" s="54" t="s">
        <v>4179</v>
      </c>
      <c r="AN533" s="34" t="s">
        <v>2278</v>
      </c>
    </row>
    <row r="534" spans="2:40" x14ac:dyDescent="0.3">
      <c r="B534" s="18" t="s">
        <v>4320</v>
      </c>
      <c r="C534" s="47" t="s">
        <v>1742</v>
      </c>
      <c r="D534" s="15" t="s">
        <v>3188</v>
      </c>
      <c r="E534" s="68" t="s">
        <v>2</v>
      </c>
      <c r="F534" s="55" t="s">
        <v>2</v>
      </c>
      <c r="G534" s="40" t="s">
        <v>2745</v>
      </c>
      <c r="H534" s="71" t="s">
        <v>2745</v>
      </c>
      <c r="I534" s="67" t="s">
        <v>2274</v>
      </c>
      <c r="J534" s="73" t="s">
        <v>270</v>
      </c>
      <c r="K534" s="4">
        <v>4841800</v>
      </c>
      <c r="L534" s="41">
        <v>95.992999999999995</v>
      </c>
      <c r="M534" s="4">
        <v>4799650</v>
      </c>
      <c r="N534" s="4">
        <v>5000000</v>
      </c>
      <c r="O534" s="4">
        <v>4933377</v>
      </c>
      <c r="P534" s="4">
        <v>0</v>
      </c>
      <c r="Q534" s="4">
        <v>21581</v>
      </c>
      <c r="R534" s="4">
        <v>0</v>
      </c>
      <c r="S534" s="4">
        <v>0</v>
      </c>
      <c r="T534" s="23">
        <v>3</v>
      </c>
      <c r="U534" s="23">
        <v>3.4889999999999999</v>
      </c>
      <c r="V534" s="5" t="s">
        <v>3409</v>
      </c>
      <c r="W534" s="4">
        <v>17083</v>
      </c>
      <c r="X534" s="4">
        <v>150000</v>
      </c>
      <c r="Y534" s="14">
        <v>43278</v>
      </c>
      <c r="Z534" s="14">
        <v>45981</v>
      </c>
      <c r="AA534" s="2"/>
      <c r="AB534" s="69" t="s">
        <v>3892</v>
      </c>
      <c r="AC534" s="5" t="s">
        <v>4178</v>
      </c>
      <c r="AD534" s="2"/>
      <c r="AE534" s="14">
        <v>45889</v>
      </c>
      <c r="AF534" s="23">
        <v>100</v>
      </c>
      <c r="AG534" s="10"/>
      <c r="AH534" s="5" t="s">
        <v>3722</v>
      </c>
      <c r="AI534" s="5" t="s">
        <v>3188</v>
      </c>
      <c r="AJ534" s="5" t="s">
        <v>2</v>
      </c>
      <c r="AK534" s="21" t="s">
        <v>2</v>
      </c>
      <c r="AL534" s="72" t="s">
        <v>3894</v>
      </c>
      <c r="AM534" s="54" t="s">
        <v>4179</v>
      </c>
      <c r="AN534" s="34" t="s">
        <v>1408</v>
      </c>
    </row>
    <row r="535" spans="2:40" x14ac:dyDescent="0.3">
      <c r="B535" s="18" t="s">
        <v>931</v>
      </c>
      <c r="C535" s="47" t="s">
        <v>2597</v>
      </c>
      <c r="D535" s="15" t="s">
        <v>4321</v>
      </c>
      <c r="E535" s="68" t="s">
        <v>2</v>
      </c>
      <c r="F535" s="55" t="s">
        <v>2</v>
      </c>
      <c r="G535" s="40" t="s">
        <v>2</v>
      </c>
      <c r="H535" s="71" t="s">
        <v>2745</v>
      </c>
      <c r="I535" s="67" t="s">
        <v>287</v>
      </c>
      <c r="J535" s="73" t="s">
        <v>874</v>
      </c>
      <c r="K535" s="4">
        <v>10000000</v>
      </c>
      <c r="L535" s="41">
        <v>92.433999999999997</v>
      </c>
      <c r="M535" s="4">
        <v>9243400</v>
      </c>
      <c r="N535" s="4">
        <v>10000000</v>
      </c>
      <c r="O535" s="4">
        <v>10000000</v>
      </c>
      <c r="P535" s="4">
        <v>0</v>
      </c>
      <c r="Q535" s="4">
        <v>0</v>
      </c>
      <c r="R535" s="4">
        <v>0</v>
      </c>
      <c r="S535" s="4">
        <v>0</v>
      </c>
      <c r="T535" s="23">
        <v>4.4000000000000004</v>
      </c>
      <c r="U535" s="23">
        <v>4.4000000000000004</v>
      </c>
      <c r="V535" s="5" t="s">
        <v>268</v>
      </c>
      <c r="W535" s="4">
        <v>185778</v>
      </c>
      <c r="X535" s="4">
        <v>0</v>
      </c>
      <c r="Y535" s="14">
        <v>44771</v>
      </c>
      <c r="Z535" s="14">
        <v>48427</v>
      </c>
      <c r="AA535" s="2"/>
      <c r="AB535" s="69" t="s">
        <v>1671</v>
      </c>
      <c r="AC535" s="5" t="s">
        <v>2</v>
      </c>
      <c r="AD535" s="2"/>
      <c r="AE535" s="10"/>
      <c r="AF535" s="23"/>
      <c r="AG535" s="6"/>
      <c r="AH535" s="5" t="s">
        <v>349</v>
      </c>
      <c r="AI535" s="5" t="s">
        <v>4321</v>
      </c>
      <c r="AJ535" s="5" t="s">
        <v>2</v>
      </c>
      <c r="AK535" s="21" t="s">
        <v>2</v>
      </c>
      <c r="AL535" s="72" t="s">
        <v>3894</v>
      </c>
      <c r="AM535" s="54" t="s">
        <v>4179</v>
      </c>
      <c r="AN535" s="34" t="s">
        <v>3695</v>
      </c>
    </row>
    <row r="536" spans="2:40" x14ac:dyDescent="0.3">
      <c r="B536" s="18" t="s">
        <v>2853</v>
      </c>
      <c r="C536" s="47" t="s">
        <v>2598</v>
      </c>
      <c r="D536" s="15" t="s">
        <v>1478</v>
      </c>
      <c r="E536" s="68" t="s">
        <v>2</v>
      </c>
      <c r="F536" s="55" t="s">
        <v>2</v>
      </c>
      <c r="G536" s="40" t="s">
        <v>2745</v>
      </c>
      <c r="H536" s="71" t="s">
        <v>3894</v>
      </c>
      <c r="I536" s="67" t="s">
        <v>3408</v>
      </c>
      <c r="J536" s="73" t="s">
        <v>270</v>
      </c>
      <c r="K536" s="4">
        <v>13269840</v>
      </c>
      <c r="L536" s="41">
        <v>93.191999999999993</v>
      </c>
      <c r="M536" s="4">
        <v>12114960</v>
      </c>
      <c r="N536" s="4">
        <v>13000000</v>
      </c>
      <c r="O536" s="4">
        <v>13130672</v>
      </c>
      <c r="P536" s="4">
        <v>0</v>
      </c>
      <c r="Q536" s="4">
        <v>-54729</v>
      </c>
      <c r="R536" s="4">
        <v>0</v>
      </c>
      <c r="S536" s="4">
        <v>0</v>
      </c>
      <c r="T536" s="23">
        <v>2</v>
      </c>
      <c r="U536" s="23">
        <v>1.5589999999999999</v>
      </c>
      <c r="V536" s="5" t="s">
        <v>3898</v>
      </c>
      <c r="W536" s="4">
        <v>21667</v>
      </c>
      <c r="X536" s="4">
        <v>260000</v>
      </c>
      <c r="Y536" s="14">
        <v>43985</v>
      </c>
      <c r="Z536" s="14">
        <v>45809</v>
      </c>
      <c r="AA536" s="2"/>
      <c r="AB536" s="69" t="s">
        <v>3892</v>
      </c>
      <c r="AC536" s="5" t="s">
        <v>4178</v>
      </c>
      <c r="AD536" s="2"/>
      <c r="AE536" s="9">
        <v>45778</v>
      </c>
      <c r="AF536" s="23">
        <v>100</v>
      </c>
      <c r="AG536" s="9">
        <v>45778</v>
      </c>
      <c r="AH536" s="5" t="s">
        <v>350</v>
      </c>
      <c r="AI536" s="5" t="s">
        <v>2854</v>
      </c>
      <c r="AJ536" s="5" t="s">
        <v>2599</v>
      </c>
      <c r="AK536" s="21" t="s">
        <v>2</v>
      </c>
      <c r="AL536" s="72" t="s">
        <v>3894</v>
      </c>
      <c r="AM536" s="54" t="s">
        <v>4179</v>
      </c>
      <c r="AN536" s="34" t="s">
        <v>1650</v>
      </c>
    </row>
    <row r="537" spans="2:40" x14ac:dyDescent="0.3">
      <c r="B537" s="18" t="s">
        <v>3983</v>
      </c>
      <c r="C537" s="47" t="s">
        <v>932</v>
      </c>
      <c r="D537" s="15" t="s">
        <v>96</v>
      </c>
      <c r="E537" s="68" t="s">
        <v>2</v>
      </c>
      <c r="F537" s="55" t="s">
        <v>2</v>
      </c>
      <c r="G537" s="40" t="s">
        <v>3894</v>
      </c>
      <c r="H537" s="71" t="s">
        <v>3894</v>
      </c>
      <c r="I537" s="67" t="s">
        <v>3408</v>
      </c>
      <c r="J537" s="73" t="s">
        <v>270</v>
      </c>
      <c r="K537" s="4">
        <v>5005800</v>
      </c>
      <c r="L537" s="41">
        <v>96.278000000000006</v>
      </c>
      <c r="M537" s="4">
        <v>4813900</v>
      </c>
      <c r="N537" s="4">
        <v>5000000</v>
      </c>
      <c r="O537" s="4">
        <v>5002955</v>
      </c>
      <c r="P537" s="4">
        <v>0</v>
      </c>
      <c r="Q537" s="4">
        <v>-880</v>
      </c>
      <c r="R537" s="4">
        <v>0</v>
      </c>
      <c r="S537" s="4">
        <v>0</v>
      </c>
      <c r="T537" s="23">
        <v>3.55</v>
      </c>
      <c r="U537" s="23">
        <v>3.53</v>
      </c>
      <c r="V537" s="5" t="s">
        <v>10</v>
      </c>
      <c r="W537" s="4">
        <v>52264</v>
      </c>
      <c r="X537" s="4">
        <v>177500</v>
      </c>
      <c r="Y537" s="14">
        <v>43601</v>
      </c>
      <c r="Z537" s="14">
        <v>46096</v>
      </c>
      <c r="AA537" s="2"/>
      <c r="AB537" s="69" t="s">
        <v>3892</v>
      </c>
      <c r="AC537" s="5" t="s">
        <v>4178</v>
      </c>
      <c r="AD537" s="2"/>
      <c r="AE537" s="14">
        <v>46006</v>
      </c>
      <c r="AF537" s="23">
        <v>100</v>
      </c>
      <c r="AG537" s="14">
        <v>46006</v>
      </c>
      <c r="AH537" s="5" t="s">
        <v>2</v>
      </c>
      <c r="AI537" s="5" t="s">
        <v>96</v>
      </c>
      <c r="AJ537" s="5" t="s">
        <v>2</v>
      </c>
      <c r="AK537" s="21" t="s">
        <v>2</v>
      </c>
      <c r="AL537" s="72" t="s">
        <v>3894</v>
      </c>
      <c r="AM537" s="54" t="s">
        <v>4179</v>
      </c>
      <c r="AN537" s="34" t="s">
        <v>1650</v>
      </c>
    </row>
    <row r="538" spans="2:40" x14ac:dyDescent="0.3">
      <c r="B538" s="18" t="s">
        <v>933</v>
      </c>
      <c r="C538" s="47" t="s">
        <v>3189</v>
      </c>
      <c r="D538" s="15" t="s">
        <v>934</v>
      </c>
      <c r="E538" s="68" t="s">
        <v>2</v>
      </c>
      <c r="F538" s="55" t="s">
        <v>2</v>
      </c>
      <c r="G538" s="40" t="s">
        <v>2745</v>
      </c>
      <c r="H538" s="71" t="s">
        <v>3894</v>
      </c>
      <c r="I538" s="67" t="s">
        <v>3408</v>
      </c>
      <c r="J538" s="73" t="s">
        <v>270</v>
      </c>
      <c r="K538" s="4">
        <v>8876470</v>
      </c>
      <c r="L538" s="41">
        <v>97.962000000000003</v>
      </c>
      <c r="M538" s="4">
        <v>8816580</v>
      </c>
      <c r="N538" s="4">
        <v>9000000</v>
      </c>
      <c r="O538" s="4">
        <v>8957769</v>
      </c>
      <c r="P538" s="4">
        <v>0</v>
      </c>
      <c r="Q538" s="4">
        <v>20590</v>
      </c>
      <c r="R538" s="4">
        <v>0</v>
      </c>
      <c r="S538" s="4">
        <v>0</v>
      </c>
      <c r="T538" s="23">
        <v>3.65</v>
      </c>
      <c r="U538" s="23">
        <v>3.9049999999999998</v>
      </c>
      <c r="V538" s="5" t="s">
        <v>3409</v>
      </c>
      <c r="W538" s="4">
        <v>54750</v>
      </c>
      <c r="X538" s="4">
        <v>328500</v>
      </c>
      <c r="Y538" s="14">
        <v>43551</v>
      </c>
      <c r="Z538" s="14">
        <v>45597</v>
      </c>
      <c r="AA538" s="2"/>
      <c r="AB538" s="69" t="s">
        <v>3892</v>
      </c>
      <c r="AC538" s="5" t="s">
        <v>4178</v>
      </c>
      <c r="AD538" s="2"/>
      <c r="AE538" s="14">
        <v>45505</v>
      </c>
      <c r="AF538" s="23">
        <v>100</v>
      </c>
      <c r="AG538" s="14">
        <v>45505</v>
      </c>
      <c r="AH538" s="5" t="s">
        <v>2043</v>
      </c>
      <c r="AI538" s="5" t="s">
        <v>934</v>
      </c>
      <c r="AJ538" s="5" t="s">
        <v>2</v>
      </c>
      <c r="AK538" s="21" t="s">
        <v>2</v>
      </c>
      <c r="AL538" s="72" t="s">
        <v>3894</v>
      </c>
      <c r="AM538" s="54" t="s">
        <v>4179</v>
      </c>
      <c r="AN538" s="34" t="s">
        <v>1650</v>
      </c>
    </row>
    <row r="539" spans="2:40" x14ac:dyDescent="0.3">
      <c r="B539" s="18" t="s">
        <v>2044</v>
      </c>
      <c r="C539" s="47" t="s">
        <v>4322</v>
      </c>
      <c r="D539" s="15" t="s">
        <v>934</v>
      </c>
      <c r="E539" s="68" t="s">
        <v>2</v>
      </c>
      <c r="F539" s="55" t="s">
        <v>2</v>
      </c>
      <c r="G539" s="40" t="s">
        <v>2745</v>
      </c>
      <c r="H539" s="71" t="s">
        <v>3894</v>
      </c>
      <c r="I539" s="67" t="s">
        <v>3408</v>
      </c>
      <c r="J539" s="73" t="s">
        <v>270</v>
      </c>
      <c r="K539" s="4">
        <v>4818910</v>
      </c>
      <c r="L539" s="41">
        <v>96.186999999999998</v>
      </c>
      <c r="M539" s="4">
        <v>4809350</v>
      </c>
      <c r="N539" s="4">
        <v>5000000</v>
      </c>
      <c r="O539" s="4">
        <v>4912849</v>
      </c>
      <c r="P539" s="4">
        <v>0</v>
      </c>
      <c r="Q539" s="4">
        <v>24116</v>
      </c>
      <c r="R539" s="4">
        <v>0</v>
      </c>
      <c r="S539" s="4">
        <v>0</v>
      </c>
      <c r="T539" s="23">
        <v>3.6</v>
      </c>
      <c r="U539" s="23">
        <v>4.1710000000000003</v>
      </c>
      <c r="V539" s="5" t="s">
        <v>3895</v>
      </c>
      <c r="W539" s="4">
        <v>38000</v>
      </c>
      <c r="X539" s="4">
        <v>180000</v>
      </c>
      <c r="Y539" s="14">
        <v>43553</v>
      </c>
      <c r="Z539" s="14">
        <v>46127</v>
      </c>
      <c r="AA539" s="2"/>
      <c r="AB539" s="69" t="s">
        <v>3892</v>
      </c>
      <c r="AC539" s="5" t="s">
        <v>4178</v>
      </c>
      <c r="AD539" s="2"/>
      <c r="AE539" s="14">
        <v>46037</v>
      </c>
      <c r="AF539" s="23">
        <v>100</v>
      </c>
      <c r="AG539" s="6"/>
      <c r="AH539" s="5" t="s">
        <v>2043</v>
      </c>
      <c r="AI539" s="5" t="s">
        <v>934</v>
      </c>
      <c r="AJ539" s="5" t="s">
        <v>2</v>
      </c>
      <c r="AK539" s="21" t="s">
        <v>2</v>
      </c>
      <c r="AL539" s="72" t="s">
        <v>3894</v>
      </c>
      <c r="AM539" s="54" t="s">
        <v>4179</v>
      </c>
      <c r="AN539" s="34" t="s">
        <v>1650</v>
      </c>
    </row>
    <row r="540" spans="2:40" x14ac:dyDescent="0.3">
      <c r="B540" s="18" t="s">
        <v>3190</v>
      </c>
      <c r="C540" s="47" t="s">
        <v>3191</v>
      </c>
      <c r="D540" s="15" t="s">
        <v>2855</v>
      </c>
      <c r="E540" s="68" t="s">
        <v>2</v>
      </c>
      <c r="F540" s="55" t="s">
        <v>2</v>
      </c>
      <c r="G540" s="40" t="s">
        <v>2745</v>
      </c>
      <c r="H540" s="71" t="s">
        <v>2745</v>
      </c>
      <c r="I540" s="67" t="s">
        <v>1414</v>
      </c>
      <c r="J540" s="73" t="s">
        <v>270</v>
      </c>
      <c r="K540" s="4">
        <v>3471895</v>
      </c>
      <c r="L540" s="41">
        <v>94.606999999999999</v>
      </c>
      <c r="M540" s="4">
        <v>3311245</v>
      </c>
      <c r="N540" s="4">
        <v>3500000</v>
      </c>
      <c r="O540" s="4">
        <v>3472834</v>
      </c>
      <c r="P540" s="4">
        <v>0</v>
      </c>
      <c r="Q540" s="4">
        <v>939</v>
      </c>
      <c r="R540" s="4">
        <v>0</v>
      </c>
      <c r="S540" s="4">
        <v>0</v>
      </c>
      <c r="T540" s="23">
        <v>4.25</v>
      </c>
      <c r="U540" s="23">
        <v>4.3490000000000002</v>
      </c>
      <c r="V540" s="5" t="s">
        <v>10</v>
      </c>
      <c r="W540" s="4">
        <v>59087</v>
      </c>
      <c r="X540" s="4">
        <v>0</v>
      </c>
      <c r="Y540" s="14">
        <v>44777</v>
      </c>
      <c r="Z540" s="14">
        <v>48458</v>
      </c>
      <c r="AA540" s="2"/>
      <c r="AB540" s="69" t="s">
        <v>3892</v>
      </c>
      <c r="AC540" s="5" t="s">
        <v>4178</v>
      </c>
      <c r="AD540" s="2"/>
      <c r="AE540" s="9">
        <v>48366</v>
      </c>
      <c r="AF540" s="23">
        <v>100</v>
      </c>
      <c r="AG540" s="6"/>
      <c r="AH540" s="5" t="s">
        <v>2600</v>
      </c>
      <c r="AI540" s="5" t="s">
        <v>2855</v>
      </c>
      <c r="AJ540" s="5" t="s">
        <v>2</v>
      </c>
      <c r="AK540" s="21" t="s">
        <v>2</v>
      </c>
      <c r="AL540" s="72" t="s">
        <v>3894</v>
      </c>
      <c r="AM540" s="54" t="s">
        <v>4179</v>
      </c>
      <c r="AN540" s="34" t="s">
        <v>512</v>
      </c>
    </row>
    <row r="541" spans="2:40" x14ac:dyDescent="0.3">
      <c r="B541" s="18" t="s">
        <v>4323</v>
      </c>
      <c r="C541" s="47" t="s">
        <v>1254</v>
      </c>
      <c r="D541" s="15" t="s">
        <v>351</v>
      </c>
      <c r="E541" s="68" t="s">
        <v>2</v>
      </c>
      <c r="F541" s="55" t="s">
        <v>2</v>
      </c>
      <c r="G541" s="40" t="s">
        <v>2745</v>
      </c>
      <c r="H541" s="71" t="s">
        <v>3894</v>
      </c>
      <c r="I541" s="67" t="s">
        <v>8</v>
      </c>
      <c r="J541" s="73" t="s">
        <v>270</v>
      </c>
      <c r="K541" s="4">
        <v>3992280</v>
      </c>
      <c r="L541" s="41">
        <v>95.840999999999994</v>
      </c>
      <c r="M541" s="4">
        <v>3833640</v>
      </c>
      <c r="N541" s="4">
        <v>4000000</v>
      </c>
      <c r="O541" s="4">
        <v>3997343</v>
      </c>
      <c r="P541" s="4">
        <v>0</v>
      </c>
      <c r="Q541" s="4">
        <v>1537</v>
      </c>
      <c r="R541" s="4">
        <v>0</v>
      </c>
      <c r="S541" s="4">
        <v>0</v>
      </c>
      <c r="T541" s="23">
        <v>2.75</v>
      </c>
      <c r="U541" s="23">
        <v>2.7909999999999999</v>
      </c>
      <c r="V541" s="5" t="s">
        <v>10</v>
      </c>
      <c r="W541" s="4">
        <v>36667</v>
      </c>
      <c r="X541" s="4">
        <v>110000</v>
      </c>
      <c r="Y541" s="14">
        <v>43689</v>
      </c>
      <c r="Z541" s="14">
        <v>45536</v>
      </c>
      <c r="AA541" s="2"/>
      <c r="AB541" s="69" t="s">
        <v>3892</v>
      </c>
      <c r="AC541" s="5" t="s">
        <v>4178</v>
      </c>
      <c r="AD541" s="2"/>
      <c r="AE541" s="14">
        <v>45505</v>
      </c>
      <c r="AF541" s="23">
        <v>100</v>
      </c>
      <c r="AG541" s="6"/>
      <c r="AH541" s="5" t="s">
        <v>352</v>
      </c>
      <c r="AI541" s="5" t="s">
        <v>351</v>
      </c>
      <c r="AJ541" s="5" t="s">
        <v>2</v>
      </c>
      <c r="AK541" s="21" t="s">
        <v>2</v>
      </c>
      <c r="AL541" s="72" t="s">
        <v>3894</v>
      </c>
      <c r="AM541" s="54" t="s">
        <v>4179</v>
      </c>
      <c r="AN541" s="34" t="s">
        <v>1189</v>
      </c>
    </row>
    <row r="542" spans="2:40" x14ac:dyDescent="0.3">
      <c r="B542" s="18" t="s">
        <v>935</v>
      </c>
      <c r="C542" s="47" t="s">
        <v>2856</v>
      </c>
      <c r="D542" s="15" t="s">
        <v>3984</v>
      </c>
      <c r="E542" s="68" t="s">
        <v>2</v>
      </c>
      <c r="F542" s="55" t="s">
        <v>2</v>
      </c>
      <c r="G542" s="40" t="s">
        <v>3894</v>
      </c>
      <c r="H542" s="71" t="s">
        <v>2745</v>
      </c>
      <c r="I542" s="67" t="s">
        <v>1414</v>
      </c>
      <c r="J542" s="73" t="s">
        <v>270</v>
      </c>
      <c r="K542" s="4">
        <v>3992360</v>
      </c>
      <c r="L542" s="41">
        <v>92.721999999999994</v>
      </c>
      <c r="M542" s="4">
        <v>3708880</v>
      </c>
      <c r="N542" s="4">
        <v>4000000</v>
      </c>
      <c r="O542" s="4">
        <v>3995939</v>
      </c>
      <c r="P542" s="4">
        <v>0</v>
      </c>
      <c r="Q542" s="4">
        <v>1074</v>
      </c>
      <c r="R542" s="4">
        <v>0</v>
      </c>
      <c r="S542" s="4">
        <v>0</v>
      </c>
      <c r="T542" s="23">
        <v>2.6</v>
      </c>
      <c r="U542" s="23">
        <v>2.63</v>
      </c>
      <c r="V542" s="5" t="s">
        <v>1916</v>
      </c>
      <c r="W542" s="4">
        <v>45644</v>
      </c>
      <c r="X542" s="4">
        <v>104000</v>
      </c>
      <c r="Y542" s="14">
        <v>43664</v>
      </c>
      <c r="Z542" s="14">
        <v>46226</v>
      </c>
      <c r="AA542" s="2"/>
      <c r="AB542" s="69" t="s">
        <v>3892</v>
      </c>
      <c r="AC542" s="5" t="s">
        <v>4178</v>
      </c>
      <c r="AD542" s="2"/>
      <c r="AE542" s="14">
        <v>46165</v>
      </c>
      <c r="AF542" s="23">
        <v>100</v>
      </c>
      <c r="AG542" s="6"/>
      <c r="AH542" s="5" t="s">
        <v>936</v>
      </c>
      <c r="AI542" s="5" t="s">
        <v>937</v>
      </c>
      <c r="AJ542" s="5" t="s">
        <v>2857</v>
      </c>
      <c r="AK542" s="21" t="s">
        <v>2</v>
      </c>
      <c r="AL542" s="72" t="s">
        <v>3894</v>
      </c>
      <c r="AM542" s="54" t="s">
        <v>4179</v>
      </c>
      <c r="AN542" s="34" t="s">
        <v>512</v>
      </c>
    </row>
    <row r="543" spans="2:40" x14ac:dyDescent="0.3">
      <c r="B543" s="18" t="s">
        <v>2045</v>
      </c>
      <c r="C543" s="47" t="s">
        <v>4324</v>
      </c>
      <c r="D543" s="15" t="s">
        <v>3984</v>
      </c>
      <c r="E543" s="68" t="s">
        <v>2</v>
      </c>
      <c r="F543" s="55" t="s">
        <v>2</v>
      </c>
      <c r="G543" s="40" t="s">
        <v>3894</v>
      </c>
      <c r="H543" s="71" t="s">
        <v>2745</v>
      </c>
      <c r="I543" s="67" t="s">
        <v>1414</v>
      </c>
      <c r="J543" s="73" t="s">
        <v>270</v>
      </c>
      <c r="K543" s="4">
        <v>4901450</v>
      </c>
      <c r="L543" s="41">
        <v>85.239000000000004</v>
      </c>
      <c r="M543" s="4">
        <v>4261950</v>
      </c>
      <c r="N543" s="4">
        <v>5000000</v>
      </c>
      <c r="O543" s="4">
        <v>4911298</v>
      </c>
      <c r="P543" s="4">
        <v>0</v>
      </c>
      <c r="Q543" s="4">
        <v>9848</v>
      </c>
      <c r="R543" s="4">
        <v>0</v>
      </c>
      <c r="S543" s="4">
        <v>0</v>
      </c>
      <c r="T543" s="23">
        <v>2.5499999999999998</v>
      </c>
      <c r="U543" s="23">
        <v>2.8290000000000002</v>
      </c>
      <c r="V543" s="5" t="s">
        <v>1916</v>
      </c>
      <c r="W543" s="4">
        <v>56313</v>
      </c>
      <c r="X543" s="4">
        <v>63750</v>
      </c>
      <c r="Y543" s="14">
        <v>44607</v>
      </c>
      <c r="Z543" s="14">
        <v>47505</v>
      </c>
      <c r="AA543" s="2"/>
      <c r="AB543" s="69" t="s">
        <v>3892</v>
      </c>
      <c r="AC543" s="5" t="s">
        <v>4178</v>
      </c>
      <c r="AD543" s="2"/>
      <c r="AE543" s="14">
        <v>47415</v>
      </c>
      <c r="AF543" s="23">
        <v>100</v>
      </c>
      <c r="AG543" s="6"/>
      <c r="AH543" s="5" t="s">
        <v>936</v>
      </c>
      <c r="AI543" s="5" t="s">
        <v>937</v>
      </c>
      <c r="AJ543" s="5" t="s">
        <v>2857</v>
      </c>
      <c r="AK543" s="21" t="s">
        <v>2</v>
      </c>
      <c r="AL543" s="72" t="s">
        <v>3894</v>
      </c>
      <c r="AM543" s="54" t="s">
        <v>4179</v>
      </c>
      <c r="AN543" s="34" t="s">
        <v>512</v>
      </c>
    </row>
    <row r="544" spans="2:40" x14ac:dyDescent="0.3">
      <c r="B544" s="18" t="s">
        <v>3192</v>
      </c>
      <c r="C544" s="47" t="s">
        <v>1255</v>
      </c>
      <c r="D544" s="15" t="s">
        <v>2380</v>
      </c>
      <c r="E544" s="68" t="s">
        <v>2</v>
      </c>
      <c r="F544" s="55" t="s">
        <v>2</v>
      </c>
      <c r="G544" s="40" t="s">
        <v>3894</v>
      </c>
      <c r="H544" s="71" t="s">
        <v>2745</v>
      </c>
      <c r="I544" s="67" t="s">
        <v>287</v>
      </c>
      <c r="J544" s="73" t="s">
        <v>270</v>
      </c>
      <c r="K544" s="4">
        <v>4823750</v>
      </c>
      <c r="L544" s="41">
        <v>96.537000000000006</v>
      </c>
      <c r="M544" s="4">
        <v>4826850</v>
      </c>
      <c r="N544" s="4">
        <v>5000000</v>
      </c>
      <c r="O544" s="4">
        <v>4929373</v>
      </c>
      <c r="P544" s="4">
        <v>0</v>
      </c>
      <c r="Q544" s="4">
        <v>27373</v>
      </c>
      <c r="R544" s="4">
        <v>0</v>
      </c>
      <c r="S544" s="4">
        <v>0</v>
      </c>
      <c r="T544" s="23">
        <v>3.25</v>
      </c>
      <c r="U544" s="23">
        <v>3.8679999999999999</v>
      </c>
      <c r="V544" s="5" t="s">
        <v>3898</v>
      </c>
      <c r="W544" s="4">
        <v>13542</v>
      </c>
      <c r="X544" s="4">
        <v>162500</v>
      </c>
      <c r="Y544" s="14">
        <v>43431</v>
      </c>
      <c r="Z544" s="14">
        <v>45809</v>
      </c>
      <c r="AA544" s="2"/>
      <c r="AB544" s="69" t="s">
        <v>3892</v>
      </c>
      <c r="AC544" s="5" t="s">
        <v>4178</v>
      </c>
      <c r="AD544" s="2"/>
      <c r="AE544" s="14">
        <v>45779</v>
      </c>
      <c r="AF544" s="23">
        <v>100</v>
      </c>
      <c r="AG544" s="6"/>
      <c r="AH544" s="5" t="s">
        <v>3985</v>
      </c>
      <c r="AI544" s="5" t="s">
        <v>2380</v>
      </c>
      <c r="AJ544" s="5" t="s">
        <v>2</v>
      </c>
      <c r="AK544" s="21" t="s">
        <v>2</v>
      </c>
      <c r="AL544" s="72" t="s">
        <v>3894</v>
      </c>
      <c r="AM544" s="54" t="s">
        <v>4179</v>
      </c>
      <c r="AN544" s="34" t="s">
        <v>819</v>
      </c>
    </row>
    <row r="545" spans="2:40" x14ac:dyDescent="0.3">
      <c r="B545" s="18" t="s">
        <v>4325</v>
      </c>
      <c r="C545" s="47" t="s">
        <v>2858</v>
      </c>
      <c r="D545" s="15" t="s">
        <v>595</v>
      </c>
      <c r="E545" s="68" t="s">
        <v>2</v>
      </c>
      <c r="F545" s="55" t="s">
        <v>2</v>
      </c>
      <c r="G545" s="40" t="s">
        <v>2745</v>
      </c>
      <c r="H545" s="71" t="s">
        <v>3894</v>
      </c>
      <c r="I545" s="67" t="s">
        <v>1164</v>
      </c>
      <c r="J545" s="73" t="s">
        <v>270</v>
      </c>
      <c r="K545" s="4">
        <v>14140212</v>
      </c>
      <c r="L545" s="41">
        <v>96.575000000000003</v>
      </c>
      <c r="M545" s="4">
        <v>13520500</v>
      </c>
      <c r="N545" s="4">
        <v>14000000</v>
      </c>
      <c r="O545" s="4">
        <v>14077456</v>
      </c>
      <c r="P545" s="4">
        <v>0</v>
      </c>
      <c r="Q545" s="4">
        <v>-29624</v>
      </c>
      <c r="R545" s="4">
        <v>0</v>
      </c>
      <c r="S545" s="4">
        <v>0</v>
      </c>
      <c r="T545" s="23">
        <v>4.625</v>
      </c>
      <c r="U545" s="23">
        <v>4.383</v>
      </c>
      <c r="V545" s="5" t="s">
        <v>1916</v>
      </c>
      <c r="W545" s="4">
        <v>307554</v>
      </c>
      <c r="X545" s="4">
        <v>647500</v>
      </c>
      <c r="Y545" s="14">
        <v>44123</v>
      </c>
      <c r="Z545" s="14">
        <v>45848</v>
      </c>
      <c r="AA545" s="2"/>
      <c r="AB545" s="69" t="s">
        <v>3892</v>
      </c>
      <c r="AC545" s="5" t="s">
        <v>4178</v>
      </c>
      <c r="AD545" s="2"/>
      <c r="AE545" s="14">
        <v>45818</v>
      </c>
      <c r="AF545" s="23">
        <v>100</v>
      </c>
      <c r="AG545" s="9">
        <v>45818</v>
      </c>
      <c r="AH545" s="5" t="s">
        <v>4326</v>
      </c>
      <c r="AI545" s="5" t="s">
        <v>595</v>
      </c>
      <c r="AJ545" s="5" t="s">
        <v>2</v>
      </c>
      <c r="AK545" s="21" t="s">
        <v>2</v>
      </c>
      <c r="AL545" s="72" t="s">
        <v>3894</v>
      </c>
      <c r="AM545" s="54" t="s">
        <v>4179</v>
      </c>
      <c r="AN545" s="34" t="s">
        <v>828</v>
      </c>
    </row>
    <row r="546" spans="2:40" x14ac:dyDescent="0.3">
      <c r="B546" s="18" t="s">
        <v>2046</v>
      </c>
      <c r="C546" s="47" t="s">
        <v>596</v>
      </c>
      <c r="D546" s="15" t="s">
        <v>2381</v>
      </c>
      <c r="E546" s="68" t="s">
        <v>2</v>
      </c>
      <c r="F546" s="55" t="s">
        <v>2</v>
      </c>
      <c r="G546" s="40" t="s">
        <v>2</v>
      </c>
      <c r="H546" s="71" t="s">
        <v>2745</v>
      </c>
      <c r="I546" s="67" t="s">
        <v>2274</v>
      </c>
      <c r="J546" s="73" t="s">
        <v>270</v>
      </c>
      <c r="K546" s="4">
        <v>14994000</v>
      </c>
      <c r="L546" s="41">
        <v>82.570999999999998</v>
      </c>
      <c r="M546" s="4">
        <v>12385650</v>
      </c>
      <c r="N546" s="4">
        <v>15000000</v>
      </c>
      <c r="O546" s="4">
        <v>14995608</v>
      </c>
      <c r="P546" s="4">
        <v>0</v>
      </c>
      <c r="Q546" s="4">
        <v>832</v>
      </c>
      <c r="R546" s="4">
        <v>0</v>
      </c>
      <c r="S546" s="4">
        <v>0</v>
      </c>
      <c r="T546" s="23">
        <v>1.45</v>
      </c>
      <c r="U546" s="23">
        <v>1.456</v>
      </c>
      <c r="V546" s="5" t="s">
        <v>1916</v>
      </c>
      <c r="W546" s="4">
        <v>97271</v>
      </c>
      <c r="X546" s="4">
        <v>217500</v>
      </c>
      <c r="Y546" s="14">
        <v>44208</v>
      </c>
      <c r="Z546" s="14">
        <v>46772</v>
      </c>
      <c r="AA546" s="2"/>
      <c r="AB546" s="69" t="s">
        <v>3892</v>
      </c>
      <c r="AC546" s="5" t="s">
        <v>4178</v>
      </c>
      <c r="AD546" s="2"/>
      <c r="AE546" s="10"/>
      <c r="AF546" s="23"/>
      <c r="AG546" s="6"/>
      <c r="AH546" s="5" t="s">
        <v>2047</v>
      </c>
      <c r="AI546" s="5" t="s">
        <v>597</v>
      </c>
      <c r="AJ546" s="5" t="s">
        <v>824</v>
      </c>
      <c r="AK546" s="21" t="s">
        <v>2</v>
      </c>
      <c r="AL546" s="72" t="s">
        <v>2745</v>
      </c>
      <c r="AM546" s="54" t="s">
        <v>4179</v>
      </c>
      <c r="AN546" s="34" t="s">
        <v>1408</v>
      </c>
    </row>
    <row r="547" spans="2:40" x14ac:dyDescent="0.3">
      <c r="B547" s="18" t="s">
        <v>3193</v>
      </c>
      <c r="C547" s="47" t="s">
        <v>1743</v>
      </c>
      <c r="D547" s="15" t="s">
        <v>2381</v>
      </c>
      <c r="E547" s="68" t="s">
        <v>2</v>
      </c>
      <c r="F547" s="55" t="s">
        <v>2</v>
      </c>
      <c r="G547" s="40" t="s">
        <v>2</v>
      </c>
      <c r="H547" s="71" t="s">
        <v>2745</v>
      </c>
      <c r="I547" s="67" t="s">
        <v>2274</v>
      </c>
      <c r="J547" s="73" t="s">
        <v>270</v>
      </c>
      <c r="K547" s="4">
        <v>5395816</v>
      </c>
      <c r="L547" s="41">
        <v>80.691999999999993</v>
      </c>
      <c r="M547" s="4">
        <v>4477599</v>
      </c>
      <c r="N547" s="4">
        <v>5549000</v>
      </c>
      <c r="O547" s="4">
        <v>5418121</v>
      </c>
      <c r="P547" s="4">
        <v>0</v>
      </c>
      <c r="Q547" s="4">
        <v>21414</v>
      </c>
      <c r="R547" s="4">
        <v>0</v>
      </c>
      <c r="S547" s="4">
        <v>0</v>
      </c>
      <c r="T547" s="23">
        <v>1.6</v>
      </c>
      <c r="U547" s="23">
        <v>2.0390000000000001</v>
      </c>
      <c r="V547" s="5" t="s">
        <v>10</v>
      </c>
      <c r="W547" s="4">
        <v>24662</v>
      </c>
      <c r="X547" s="4">
        <v>88784</v>
      </c>
      <c r="Y547" s="14">
        <v>44544</v>
      </c>
      <c r="Z547" s="14">
        <v>47017</v>
      </c>
      <c r="AA547" s="2"/>
      <c r="AB547" s="69" t="s">
        <v>3892</v>
      </c>
      <c r="AC547" s="5" t="s">
        <v>4178</v>
      </c>
      <c r="AD547" s="2"/>
      <c r="AE547" s="10"/>
      <c r="AF547" s="23"/>
      <c r="AG547" s="6"/>
      <c r="AH547" s="5" t="s">
        <v>2047</v>
      </c>
      <c r="AI547" s="5" t="s">
        <v>597</v>
      </c>
      <c r="AJ547" s="5" t="s">
        <v>824</v>
      </c>
      <c r="AK547" s="21" t="s">
        <v>2</v>
      </c>
      <c r="AL547" s="72" t="s">
        <v>2745</v>
      </c>
      <c r="AM547" s="54" t="s">
        <v>4179</v>
      </c>
      <c r="AN547" s="34" t="s">
        <v>1408</v>
      </c>
    </row>
    <row r="548" spans="2:40" x14ac:dyDescent="0.3">
      <c r="B548" s="18" t="s">
        <v>4327</v>
      </c>
      <c r="C548" s="47" t="s">
        <v>3986</v>
      </c>
      <c r="D548" s="15" t="s">
        <v>4328</v>
      </c>
      <c r="E548" s="68" t="s">
        <v>2</v>
      </c>
      <c r="F548" s="55" t="s">
        <v>2</v>
      </c>
      <c r="G548" s="40" t="s">
        <v>2745</v>
      </c>
      <c r="H548" s="71" t="s">
        <v>3894</v>
      </c>
      <c r="I548" s="67" t="s">
        <v>3408</v>
      </c>
      <c r="J548" s="73" t="s">
        <v>270</v>
      </c>
      <c r="K548" s="4">
        <v>1599264</v>
      </c>
      <c r="L548" s="41">
        <v>96.396000000000001</v>
      </c>
      <c r="M548" s="4">
        <v>1542336</v>
      </c>
      <c r="N548" s="4">
        <v>1600000</v>
      </c>
      <c r="O548" s="4">
        <v>1599776</v>
      </c>
      <c r="P548" s="4">
        <v>0</v>
      </c>
      <c r="Q548" s="4">
        <v>149</v>
      </c>
      <c r="R548" s="4">
        <v>0</v>
      </c>
      <c r="S548" s="4">
        <v>0</v>
      </c>
      <c r="T548" s="23">
        <v>2.7</v>
      </c>
      <c r="U548" s="23">
        <v>2.71</v>
      </c>
      <c r="V548" s="5" t="s">
        <v>3898</v>
      </c>
      <c r="W548" s="4">
        <v>2040</v>
      </c>
      <c r="X548" s="4">
        <v>43200</v>
      </c>
      <c r="Y548" s="14">
        <v>43621</v>
      </c>
      <c r="Z548" s="14">
        <v>45457</v>
      </c>
      <c r="AA548" s="2"/>
      <c r="AB548" s="69" t="s">
        <v>3892</v>
      </c>
      <c r="AC548" s="5" t="s">
        <v>4178</v>
      </c>
      <c r="AD548" s="2"/>
      <c r="AE548" s="14">
        <v>45426</v>
      </c>
      <c r="AF548" s="23">
        <v>100</v>
      </c>
      <c r="AG548" s="6"/>
      <c r="AH548" s="5" t="s">
        <v>4329</v>
      </c>
      <c r="AI548" s="5" t="s">
        <v>4328</v>
      </c>
      <c r="AJ548" s="5" t="s">
        <v>2</v>
      </c>
      <c r="AK548" s="21" t="s">
        <v>2</v>
      </c>
      <c r="AL548" s="72" t="s">
        <v>3894</v>
      </c>
      <c r="AM548" s="54" t="s">
        <v>4179</v>
      </c>
      <c r="AN548" s="34" t="s">
        <v>1650</v>
      </c>
    </row>
    <row r="549" spans="2:40" x14ac:dyDescent="0.3">
      <c r="B549" s="18" t="s">
        <v>938</v>
      </c>
      <c r="C549" s="47" t="s">
        <v>353</v>
      </c>
      <c r="D549" s="15" t="s">
        <v>4328</v>
      </c>
      <c r="E549" s="68" t="s">
        <v>2</v>
      </c>
      <c r="F549" s="55" t="s">
        <v>2</v>
      </c>
      <c r="G549" s="40" t="s">
        <v>2745</v>
      </c>
      <c r="H549" s="71" t="s">
        <v>3894</v>
      </c>
      <c r="I549" s="67" t="s">
        <v>3408</v>
      </c>
      <c r="J549" s="73" t="s">
        <v>270</v>
      </c>
      <c r="K549" s="4">
        <v>9878220</v>
      </c>
      <c r="L549" s="41">
        <v>96.308000000000007</v>
      </c>
      <c r="M549" s="4">
        <v>9534492</v>
      </c>
      <c r="N549" s="4">
        <v>9900000</v>
      </c>
      <c r="O549" s="4">
        <v>9880340</v>
      </c>
      <c r="P549" s="4">
        <v>0</v>
      </c>
      <c r="Q549" s="4">
        <v>2120</v>
      </c>
      <c r="R549" s="4">
        <v>0</v>
      </c>
      <c r="S549" s="4">
        <v>0</v>
      </c>
      <c r="T549" s="23">
        <v>4.5</v>
      </c>
      <c r="U549" s="23">
        <v>4.5330000000000004</v>
      </c>
      <c r="V549" s="5" t="s">
        <v>10</v>
      </c>
      <c r="W549" s="4">
        <v>242550</v>
      </c>
      <c r="X549" s="4">
        <v>0</v>
      </c>
      <c r="Y549" s="14">
        <v>44718</v>
      </c>
      <c r="Z549" s="14">
        <v>47376</v>
      </c>
      <c r="AA549" s="2"/>
      <c r="AB549" s="69" t="s">
        <v>3892</v>
      </c>
      <c r="AC549" s="5" t="s">
        <v>4178</v>
      </c>
      <c r="AD549" s="2"/>
      <c r="AE549" s="14">
        <v>47314</v>
      </c>
      <c r="AF549" s="23">
        <v>100</v>
      </c>
      <c r="AG549" s="10"/>
      <c r="AH549" s="5" t="s">
        <v>4329</v>
      </c>
      <c r="AI549" s="5" t="s">
        <v>4328</v>
      </c>
      <c r="AJ549" s="5" t="s">
        <v>2</v>
      </c>
      <c r="AK549" s="21" t="s">
        <v>2</v>
      </c>
      <c r="AL549" s="72" t="s">
        <v>3894</v>
      </c>
      <c r="AM549" s="54" t="s">
        <v>4179</v>
      </c>
      <c r="AN549" s="34" t="s">
        <v>1650</v>
      </c>
    </row>
    <row r="550" spans="2:40" x14ac:dyDescent="0.3">
      <c r="B550" s="18" t="s">
        <v>2048</v>
      </c>
      <c r="C550" s="47" t="s">
        <v>3194</v>
      </c>
      <c r="D550" s="15" t="s">
        <v>97</v>
      </c>
      <c r="E550" s="68" t="s">
        <v>2</v>
      </c>
      <c r="F550" s="55" t="s">
        <v>2</v>
      </c>
      <c r="G550" s="40" t="s">
        <v>2</v>
      </c>
      <c r="H550" s="71" t="s">
        <v>2745</v>
      </c>
      <c r="I550" s="67" t="s">
        <v>1414</v>
      </c>
      <c r="J550" s="73" t="s">
        <v>2</v>
      </c>
      <c r="K550" s="4">
        <v>7000000</v>
      </c>
      <c r="L550" s="41">
        <v>96.45</v>
      </c>
      <c r="M550" s="4">
        <v>6751500</v>
      </c>
      <c r="N550" s="4">
        <v>7000000</v>
      </c>
      <c r="O550" s="4">
        <v>7000000</v>
      </c>
      <c r="P550" s="4">
        <v>0</v>
      </c>
      <c r="Q550" s="4">
        <v>0</v>
      </c>
      <c r="R550" s="4">
        <v>0</v>
      </c>
      <c r="S550" s="4">
        <v>0</v>
      </c>
      <c r="T550" s="23">
        <v>4.07</v>
      </c>
      <c r="U550" s="23">
        <v>4.07</v>
      </c>
      <c r="V550" s="5" t="s">
        <v>10</v>
      </c>
      <c r="W550" s="4">
        <v>85470</v>
      </c>
      <c r="X550" s="4">
        <v>284900</v>
      </c>
      <c r="Y550" s="14">
        <v>43537</v>
      </c>
      <c r="Z550" s="14">
        <v>46094</v>
      </c>
      <c r="AA550" s="2"/>
      <c r="AB550" s="69" t="s">
        <v>1671</v>
      </c>
      <c r="AC550" s="5" t="s">
        <v>2</v>
      </c>
      <c r="AD550" s="2"/>
      <c r="AE550" s="6"/>
      <c r="AF550" s="23"/>
      <c r="AG550" s="6"/>
      <c r="AH550" s="5" t="s">
        <v>1256</v>
      </c>
      <c r="AI550" s="5" t="s">
        <v>97</v>
      </c>
      <c r="AJ550" s="5" t="s">
        <v>2</v>
      </c>
      <c r="AK550" s="21" t="s">
        <v>2</v>
      </c>
      <c r="AL550" s="72" t="s">
        <v>3894</v>
      </c>
      <c r="AM550" s="54" t="s">
        <v>4179</v>
      </c>
      <c r="AN550" s="34" t="s">
        <v>541</v>
      </c>
    </row>
    <row r="551" spans="2:40" x14ac:dyDescent="0.3">
      <c r="B551" s="18" t="s">
        <v>3195</v>
      </c>
      <c r="C551" s="47" t="s">
        <v>3987</v>
      </c>
      <c r="D551" s="15" t="s">
        <v>354</v>
      </c>
      <c r="E551" s="68" t="s">
        <v>2</v>
      </c>
      <c r="F551" s="55" t="s">
        <v>2</v>
      </c>
      <c r="G551" s="40" t="s">
        <v>2</v>
      </c>
      <c r="H551" s="71" t="s">
        <v>2745</v>
      </c>
      <c r="I551" s="67" t="s">
        <v>3660</v>
      </c>
      <c r="J551" s="73" t="s">
        <v>2</v>
      </c>
      <c r="K551" s="4">
        <v>20000000</v>
      </c>
      <c r="L551" s="41">
        <v>85.337000000000003</v>
      </c>
      <c r="M551" s="4">
        <v>17067400</v>
      </c>
      <c r="N551" s="4">
        <v>20000000</v>
      </c>
      <c r="O551" s="4">
        <v>20000000</v>
      </c>
      <c r="P551" s="4">
        <v>0</v>
      </c>
      <c r="Q551" s="4">
        <v>0</v>
      </c>
      <c r="R551" s="4">
        <v>0</v>
      </c>
      <c r="S551" s="4">
        <v>0</v>
      </c>
      <c r="T551" s="23">
        <v>2.2000000000000002</v>
      </c>
      <c r="U551" s="23">
        <v>2.2000000000000002</v>
      </c>
      <c r="V551" s="5" t="s">
        <v>3409</v>
      </c>
      <c r="W551" s="4">
        <v>56222</v>
      </c>
      <c r="X551" s="4">
        <v>438778</v>
      </c>
      <c r="Y551" s="14">
        <v>44516</v>
      </c>
      <c r="Z551" s="14">
        <v>47072</v>
      </c>
      <c r="AA551" s="2"/>
      <c r="AB551" s="69" t="s">
        <v>1671</v>
      </c>
      <c r="AC551" s="5" t="s">
        <v>2</v>
      </c>
      <c r="AD551" s="2"/>
      <c r="AE551" s="6"/>
      <c r="AF551" s="23"/>
      <c r="AG551" s="6"/>
      <c r="AH551" s="5" t="s">
        <v>1744</v>
      </c>
      <c r="AI551" s="5" t="s">
        <v>3723</v>
      </c>
      <c r="AJ551" s="5" t="s">
        <v>355</v>
      </c>
      <c r="AK551" s="21" t="s">
        <v>2</v>
      </c>
      <c r="AL551" s="72" t="s">
        <v>2745</v>
      </c>
      <c r="AM551" s="54" t="s">
        <v>4179</v>
      </c>
      <c r="AN551" s="34" t="s">
        <v>2859</v>
      </c>
    </row>
    <row r="552" spans="2:40" x14ac:dyDescent="0.3">
      <c r="B552" s="18" t="s">
        <v>4330</v>
      </c>
      <c r="C552" s="47" t="s">
        <v>2049</v>
      </c>
      <c r="D552" s="15" t="s">
        <v>3724</v>
      </c>
      <c r="E552" s="68" t="s">
        <v>2</v>
      </c>
      <c r="F552" s="55" t="s">
        <v>2</v>
      </c>
      <c r="G552" s="40" t="s">
        <v>2745</v>
      </c>
      <c r="H552" s="71" t="s">
        <v>2745</v>
      </c>
      <c r="I552" s="67" t="s">
        <v>3660</v>
      </c>
      <c r="J552" s="73" t="s">
        <v>270</v>
      </c>
      <c r="K552" s="4">
        <v>9888120</v>
      </c>
      <c r="L552" s="41">
        <v>92.905000000000001</v>
      </c>
      <c r="M552" s="4">
        <v>8361450</v>
      </c>
      <c r="N552" s="4">
        <v>9000000</v>
      </c>
      <c r="O552" s="4">
        <v>9550676</v>
      </c>
      <c r="P552" s="4">
        <v>0</v>
      </c>
      <c r="Q552" s="4">
        <v>-132313</v>
      </c>
      <c r="R552" s="4">
        <v>0</v>
      </c>
      <c r="S552" s="4">
        <v>0</v>
      </c>
      <c r="T552" s="23">
        <v>2.625</v>
      </c>
      <c r="U552" s="23">
        <v>1.077</v>
      </c>
      <c r="V552" s="5" t="s">
        <v>10</v>
      </c>
      <c r="W552" s="4">
        <v>66938</v>
      </c>
      <c r="X552" s="4">
        <v>236250</v>
      </c>
      <c r="Y552" s="14">
        <v>43985</v>
      </c>
      <c r="Z552" s="14">
        <v>46465</v>
      </c>
      <c r="AA552" s="2"/>
      <c r="AB552" s="69" t="s">
        <v>3892</v>
      </c>
      <c r="AC552" s="5" t="s">
        <v>4178</v>
      </c>
      <c r="AD552" s="2"/>
      <c r="AE552" s="9">
        <v>46406</v>
      </c>
      <c r="AF552" s="23">
        <v>100</v>
      </c>
      <c r="AG552" s="9">
        <v>46406</v>
      </c>
      <c r="AH552" s="5" t="s">
        <v>98</v>
      </c>
      <c r="AI552" s="5" t="s">
        <v>3724</v>
      </c>
      <c r="AJ552" s="5" t="s">
        <v>2</v>
      </c>
      <c r="AK552" s="21" t="s">
        <v>2</v>
      </c>
      <c r="AL552" s="72" t="s">
        <v>3894</v>
      </c>
      <c r="AM552" s="54" t="s">
        <v>4179</v>
      </c>
      <c r="AN552" s="34" t="s">
        <v>1170</v>
      </c>
    </row>
    <row r="553" spans="2:40" x14ac:dyDescent="0.3">
      <c r="B553" s="18" t="s">
        <v>939</v>
      </c>
      <c r="C553" s="47" t="s">
        <v>99</v>
      </c>
      <c r="D553" s="15" t="s">
        <v>598</v>
      </c>
      <c r="E553" s="68" t="s">
        <v>2</v>
      </c>
      <c r="F553" s="55" t="s">
        <v>2</v>
      </c>
      <c r="G553" s="40" t="s">
        <v>2745</v>
      </c>
      <c r="H553" s="71" t="s">
        <v>3894</v>
      </c>
      <c r="I553" s="67" t="s">
        <v>1164</v>
      </c>
      <c r="J553" s="73" t="s">
        <v>270</v>
      </c>
      <c r="K553" s="4">
        <v>4949700</v>
      </c>
      <c r="L553" s="41">
        <v>85.113</v>
      </c>
      <c r="M553" s="4">
        <v>4255650</v>
      </c>
      <c r="N553" s="4">
        <v>5000000</v>
      </c>
      <c r="O553" s="4">
        <v>4956951</v>
      </c>
      <c r="P553" s="4">
        <v>0</v>
      </c>
      <c r="Q553" s="4">
        <v>4226</v>
      </c>
      <c r="R553" s="4">
        <v>0</v>
      </c>
      <c r="S553" s="4">
        <v>0</v>
      </c>
      <c r="T553" s="23">
        <v>4.25</v>
      </c>
      <c r="U553" s="23">
        <v>4.375</v>
      </c>
      <c r="V553" s="5" t="s">
        <v>3895</v>
      </c>
      <c r="W553" s="4">
        <v>44861</v>
      </c>
      <c r="X553" s="4">
        <v>217500</v>
      </c>
      <c r="Y553" s="14">
        <v>44280</v>
      </c>
      <c r="Z553" s="14">
        <v>47953</v>
      </c>
      <c r="AA553" s="2"/>
      <c r="AB553" s="69" t="s">
        <v>3892</v>
      </c>
      <c r="AC553" s="5" t="s">
        <v>4178</v>
      </c>
      <c r="AD553" s="2"/>
      <c r="AE553" s="14">
        <v>46127</v>
      </c>
      <c r="AF553" s="23">
        <v>102.125</v>
      </c>
      <c r="AG553" s="6"/>
      <c r="AH553" s="5" t="s">
        <v>4331</v>
      </c>
      <c r="AI553" s="5" t="s">
        <v>940</v>
      </c>
      <c r="AJ553" s="5" t="s">
        <v>824</v>
      </c>
      <c r="AK553" s="21" t="s">
        <v>2</v>
      </c>
      <c r="AL553" s="72" t="s">
        <v>3894</v>
      </c>
      <c r="AM553" s="54" t="s">
        <v>4179</v>
      </c>
      <c r="AN553" s="34" t="s">
        <v>828</v>
      </c>
    </row>
    <row r="554" spans="2:40" x14ac:dyDescent="0.3">
      <c r="B554" s="18" t="s">
        <v>2050</v>
      </c>
      <c r="C554" s="47" t="s">
        <v>2051</v>
      </c>
      <c r="D554" s="15" t="s">
        <v>1257</v>
      </c>
      <c r="E554" s="68" t="s">
        <v>2</v>
      </c>
      <c r="F554" s="55" t="s">
        <v>2</v>
      </c>
      <c r="G554" s="40" t="s">
        <v>2745</v>
      </c>
      <c r="H554" s="71" t="s">
        <v>3894</v>
      </c>
      <c r="I554" s="67" t="s">
        <v>3408</v>
      </c>
      <c r="J554" s="73" t="s">
        <v>270</v>
      </c>
      <c r="K554" s="4">
        <v>2499750</v>
      </c>
      <c r="L554" s="41">
        <v>91.173000000000002</v>
      </c>
      <c r="M554" s="4">
        <v>2279325</v>
      </c>
      <c r="N554" s="4">
        <v>2500000</v>
      </c>
      <c r="O554" s="4">
        <v>2499875</v>
      </c>
      <c r="P554" s="4">
        <v>0</v>
      </c>
      <c r="Q554" s="4">
        <v>50</v>
      </c>
      <c r="R554" s="4">
        <v>0</v>
      </c>
      <c r="S554" s="4">
        <v>0</v>
      </c>
      <c r="T554" s="23">
        <v>1.3</v>
      </c>
      <c r="U554" s="23">
        <v>1.302</v>
      </c>
      <c r="V554" s="5" t="s">
        <v>3898</v>
      </c>
      <c r="W554" s="4">
        <v>1444</v>
      </c>
      <c r="X554" s="4">
        <v>32500</v>
      </c>
      <c r="Y554" s="14">
        <v>43992</v>
      </c>
      <c r="Z554" s="14">
        <v>45823</v>
      </c>
      <c r="AA554" s="2"/>
      <c r="AB554" s="69" t="s">
        <v>3892</v>
      </c>
      <c r="AC554" s="5" t="s">
        <v>4178</v>
      </c>
      <c r="AD554" s="2"/>
      <c r="AE554" s="14">
        <v>45792</v>
      </c>
      <c r="AF554" s="23">
        <v>100</v>
      </c>
      <c r="AG554" s="10"/>
      <c r="AH554" s="5" t="s">
        <v>2</v>
      </c>
      <c r="AI554" s="5" t="s">
        <v>1257</v>
      </c>
      <c r="AJ554" s="5" t="s">
        <v>2</v>
      </c>
      <c r="AK554" s="21" t="s">
        <v>2</v>
      </c>
      <c r="AL554" s="72" t="s">
        <v>3894</v>
      </c>
      <c r="AM554" s="54" t="s">
        <v>4179</v>
      </c>
      <c r="AN554" s="34" t="s">
        <v>1650</v>
      </c>
    </row>
    <row r="555" spans="2:40" x14ac:dyDescent="0.3">
      <c r="B555" s="18" t="s">
        <v>3499</v>
      </c>
      <c r="C555" s="47" t="s">
        <v>1479</v>
      </c>
      <c r="D555" s="15" t="s">
        <v>3988</v>
      </c>
      <c r="E555" s="68" t="s">
        <v>2</v>
      </c>
      <c r="F555" s="55" t="s">
        <v>2</v>
      </c>
      <c r="G555" s="40" t="s">
        <v>2</v>
      </c>
      <c r="H555" s="71" t="s">
        <v>2745</v>
      </c>
      <c r="I555" s="67" t="s">
        <v>2274</v>
      </c>
      <c r="J555" s="73" t="s">
        <v>2</v>
      </c>
      <c r="K555" s="4">
        <v>2280563</v>
      </c>
      <c r="L555" s="41">
        <v>95.775000000000006</v>
      </c>
      <c r="M555" s="4">
        <v>2128449</v>
      </c>
      <c r="N555" s="4">
        <v>2222343</v>
      </c>
      <c r="O555" s="4">
        <v>2248282</v>
      </c>
      <c r="P555" s="4">
        <v>0</v>
      </c>
      <c r="Q555" s="4">
        <v>-5051</v>
      </c>
      <c r="R555" s="4">
        <v>0</v>
      </c>
      <c r="S555" s="4">
        <v>0</v>
      </c>
      <c r="T555" s="23">
        <v>3</v>
      </c>
      <c r="U555" s="23">
        <v>2.5</v>
      </c>
      <c r="V555" s="5" t="s">
        <v>10</v>
      </c>
      <c r="W555" s="4">
        <v>20001</v>
      </c>
      <c r="X555" s="4">
        <v>66670</v>
      </c>
      <c r="Y555" s="14">
        <v>42425</v>
      </c>
      <c r="Z555" s="14">
        <v>46643</v>
      </c>
      <c r="AA555" s="2"/>
      <c r="AB555" s="69" t="s">
        <v>1671</v>
      </c>
      <c r="AC555" s="5" t="s">
        <v>2</v>
      </c>
      <c r="AD555" s="2"/>
      <c r="AE555" s="10"/>
      <c r="AF555" s="23"/>
      <c r="AG555" s="6"/>
      <c r="AH555" s="5" t="s">
        <v>2</v>
      </c>
      <c r="AI555" s="5" t="s">
        <v>2052</v>
      </c>
      <c r="AJ555" s="5" t="s">
        <v>3989</v>
      </c>
      <c r="AK555" s="21" t="s">
        <v>2</v>
      </c>
      <c r="AL555" s="72" t="s">
        <v>2745</v>
      </c>
      <c r="AM555" s="54" t="s">
        <v>4179</v>
      </c>
      <c r="AN555" s="34" t="s">
        <v>1740</v>
      </c>
    </row>
    <row r="556" spans="2:40" x14ac:dyDescent="0.3">
      <c r="B556" s="18" t="s">
        <v>941</v>
      </c>
      <c r="C556" s="47" t="s">
        <v>100</v>
      </c>
      <c r="D556" s="15" t="s">
        <v>4332</v>
      </c>
      <c r="E556" s="68" t="s">
        <v>2</v>
      </c>
      <c r="F556" s="55" t="s">
        <v>2</v>
      </c>
      <c r="G556" s="40" t="s">
        <v>2</v>
      </c>
      <c r="H556" s="71" t="s">
        <v>2745</v>
      </c>
      <c r="I556" s="67" t="s">
        <v>287</v>
      </c>
      <c r="J556" s="73" t="s">
        <v>2</v>
      </c>
      <c r="K556" s="4">
        <v>5000000</v>
      </c>
      <c r="L556" s="41">
        <v>76.012</v>
      </c>
      <c r="M556" s="4">
        <v>3800600</v>
      </c>
      <c r="N556" s="4">
        <v>5000000</v>
      </c>
      <c r="O556" s="4">
        <v>5000000</v>
      </c>
      <c r="P556" s="4">
        <v>0</v>
      </c>
      <c r="Q556" s="4">
        <v>0</v>
      </c>
      <c r="R556" s="4">
        <v>0</v>
      </c>
      <c r="S556" s="4">
        <v>0</v>
      </c>
      <c r="T556" s="23">
        <v>2.1</v>
      </c>
      <c r="U556" s="23">
        <v>2.1</v>
      </c>
      <c r="V556" s="5" t="s">
        <v>10</v>
      </c>
      <c r="W556" s="4">
        <v>26542</v>
      </c>
      <c r="X556" s="4">
        <v>105000</v>
      </c>
      <c r="Y556" s="14">
        <v>44469</v>
      </c>
      <c r="Z556" s="14">
        <v>48121</v>
      </c>
      <c r="AA556" s="2"/>
      <c r="AB556" s="69" t="s">
        <v>1671</v>
      </c>
      <c r="AC556" s="5" t="s">
        <v>2</v>
      </c>
      <c r="AD556" s="2"/>
      <c r="AE556" s="10"/>
      <c r="AF556" s="23"/>
      <c r="AG556" s="10"/>
      <c r="AH556" s="5" t="s">
        <v>3500</v>
      </c>
      <c r="AI556" s="5" t="s">
        <v>4332</v>
      </c>
      <c r="AJ556" s="5" t="s">
        <v>2</v>
      </c>
      <c r="AK556" s="21" t="s">
        <v>2</v>
      </c>
      <c r="AL556" s="72" t="s">
        <v>2745</v>
      </c>
      <c r="AM556" s="54" t="s">
        <v>4179</v>
      </c>
      <c r="AN556" s="34" t="s">
        <v>3946</v>
      </c>
    </row>
    <row r="557" spans="2:40" x14ac:dyDescent="0.3">
      <c r="B557" s="18" t="s">
        <v>2053</v>
      </c>
      <c r="C557" s="47" t="s">
        <v>356</v>
      </c>
      <c r="D557" s="15" t="s">
        <v>4332</v>
      </c>
      <c r="E557" s="68" t="s">
        <v>2</v>
      </c>
      <c r="F557" s="55" t="s">
        <v>2</v>
      </c>
      <c r="G557" s="40" t="s">
        <v>2</v>
      </c>
      <c r="H557" s="71" t="s">
        <v>2745</v>
      </c>
      <c r="I557" s="67" t="s">
        <v>287</v>
      </c>
      <c r="J557" s="73" t="s">
        <v>2</v>
      </c>
      <c r="K557" s="4">
        <v>12000000</v>
      </c>
      <c r="L557" s="41">
        <v>83.091999999999999</v>
      </c>
      <c r="M557" s="4">
        <v>9971040</v>
      </c>
      <c r="N557" s="4">
        <v>12000000</v>
      </c>
      <c r="O557" s="4">
        <v>12000000</v>
      </c>
      <c r="P557" s="4">
        <v>0</v>
      </c>
      <c r="Q557" s="4">
        <v>0</v>
      </c>
      <c r="R557" s="4">
        <v>0</v>
      </c>
      <c r="S557" s="4">
        <v>0</v>
      </c>
      <c r="T557" s="23">
        <v>1.82</v>
      </c>
      <c r="U557" s="23">
        <v>1.82</v>
      </c>
      <c r="V557" s="5" t="s">
        <v>10</v>
      </c>
      <c r="W557" s="4">
        <v>55207</v>
      </c>
      <c r="X557" s="4">
        <v>218400</v>
      </c>
      <c r="Y557" s="14">
        <v>44469</v>
      </c>
      <c r="Z557" s="14">
        <v>47026</v>
      </c>
      <c r="AA557" s="2"/>
      <c r="AB557" s="69" t="s">
        <v>1671</v>
      </c>
      <c r="AC557" s="5" t="s">
        <v>2</v>
      </c>
      <c r="AD557" s="2"/>
      <c r="AE557" s="10"/>
      <c r="AF557" s="23"/>
      <c r="AG557" s="6"/>
      <c r="AH557" s="5" t="s">
        <v>3500</v>
      </c>
      <c r="AI557" s="5" t="s">
        <v>4332</v>
      </c>
      <c r="AJ557" s="5" t="s">
        <v>2</v>
      </c>
      <c r="AK557" s="21" t="s">
        <v>2</v>
      </c>
      <c r="AL557" s="72" t="s">
        <v>2745</v>
      </c>
      <c r="AM557" s="54" t="s">
        <v>4179</v>
      </c>
      <c r="AN557" s="34" t="s">
        <v>3946</v>
      </c>
    </row>
    <row r="558" spans="2:40" x14ac:dyDescent="0.3">
      <c r="B558" s="18" t="s">
        <v>3196</v>
      </c>
      <c r="C558" s="47" t="s">
        <v>3197</v>
      </c>
      <c r="D558" s="15" t="s">
        <v>2601</v>
      </c>
      <c r="E558" s="68" t="s">
        <v>2</v>
      </c>
      <c r="F558" s="55" t="s">
        <v>2</v>
      </c>
      <c r="G558" s="40" t="s">
        <v>2745</v>
      </c>
      <c r="H558" s="71" t="s">
        <v>2745</v>
      </c>
      <c r="I558" s="67" t="s">
        <v>1414</v>
      </c>
      <c r="J558" s="73" t="s">
        <v>270</v>
      </c>
      <c r="K558" s="4">
        <v>4906300</v>
      </c>
      <c r="L558" s="41">
        <v>95.945999999999998</v>
      </c>
      <c r="M558" s="4">
        <v>4797300</v>
      </c>
      <c r="N558" s="4">
        <v>5000000</v>
      </c>
      <c r="O558" s="4">
        <v>4955444</v>
      </c>
      <c r="P558" s="4">
        <v>0</v>
      </c>
      <c r="Q558" s="4">
        <v>11974</v>
      </c>
      <c r="R558" s="4">
        <v>0</v>
      </c>
      <c r="S558" s="4">
        <v>0</v>
      </c>
      <c r="T558" s="23">
        <v>3.6</v>
      </c>
      <c r="U558" s="23">
        <v>3.8809999999999998</v>
      </c>
      <c r="V558" s="5" t="s">
        <v>3898</v>
      </c>
      <c r="W558" s="4">
        <v>15000</v>
      </c>
      <c r="X558" s="4">
        <v>180000</v>
      </c>
      <c r="Y558" s="14">
        <v>43334</v>
      </c>
      <c r="Z558" s="14">
        <v>46174</v>
      </c>
      <c r="AA558" s="2"/>
      <c r="AB558" s="69" t="s">
        <v>3892</v>
      </c>
      <c r="AC558" s="5" t="s">
        <v>4178</v>
      </c>
      <c r="AD558" s="2"/>
      <c r="AE558" s="14">
        <v>46082</v>
      </c>
      <c r="AF558" s="23">
        <v>100</v>
      </c>
      <c r="AG558" s="6"/>
      <c r="AH558" s="5" t="s">
        <v>1745</v>
      </c>
      <c r="AI558" s="5" t="s">
        <v>2601</v>
      </c>
      <c r="AJ558" s="5" t="s">
        <v>2</v>
      </c>
      <c r="AK558" s="21" t="s">
        <v>2</v>
      </c>
      <c r="AL558" s="72" t="s">
        <v>3894</v>
      </c>
      <c r="AM558" s="54" t="s">
        <v>4179</v>
      </c>
      <c r="AN558" s="34" t="s">
        <v>512</v>
      </c>
    </row>
    <row r="559" spans="2:40" x14ac:dyDescent="0.3">
      <c r="B559" s="18" t="s">
        <v>4333</v>
      </c>
      <c r="C559" s="47" t="s">
        <v>357</v>
      </c>
      <c r="D559" s="15" t="s">
        <v>2601</v>
      </c>
      <c r="E559" s="68" t="s">
        <v>2</v>
      </c>
      <c r="F559" s="55" t="s">
        <v>2</v>
      </c>
      <c r="G559" s="40" t="s">
        <v>2745</v>
      </c>
      <c r="H559" s="71" t="s">
        <v>2745</v>
      </c>
      <c r="I559" s="67" t="s">
        <v>1414</v>
      </c>
      <c r="J559" s="73" t="s">
        <v>270</v>
      </c>
      <c r="K559" s="4">
        <v>5330600</v>
      </c>
      <c r="L559" s="41">
        <v>93.376000000000005</v>
      </c>
      <c r="M559" s="4">
        <v>4668800</v>
      </c>
      <c r="N559" s="4">
        <v>5000000</v>
      </c>
      <c r="O559" s="4">
        <v>5224826</v>
      </c>
      <c r="P559" s="4">
        <v>0</v>
      </c>
      <c r="Q559" s="4">
        <v>-41995</v>
      </c>
      <c r="R559" s="4">
        <v>0</v>
      </c>
      <c r="S559" s="4">
        <v>0</v>
      </c>
      <c r="T559" s="23">
        <v>3.55</v>
      </c>
      <c r="U559" s="23">
        <v>2.5779999999999998</v>
      </c>
      <c r="V559" s="5" t="s">
        <v>10</v>
      </c>
      <c r="W559" s="4">
        <v>52264</v>
      </c>
      <c r="X559" s="4">
        <v>177500</v>
      </c>
      <c r="Y559" s="14">
        <v>43985</v>
      </c>
      <c r="Z559" s="14">
        <v>46827</v>
      </c>
      <c r="AA559" s="2"/>
      <c r="AB559" s="69" t="s">
        <v>3892</v>
      </c>
      <c r="AC559" s="5" t="s">
        <v>4178</v>
      </c>
      <c r="AD559" s="2"/>
      <c r="AE559" s="14">
        <v>46736</v>
      </c>
      <c r="AF559" s="23">
        <v>100</v>
      </c>
      <c r="AG559" s="9">
        <v>46736</v>
      </c>
      <c r="AH559" s="5" t="s">
        <v>1745</v>
      </c>
      <c r="AI559" s="5" t="s">
        <v>2601</v>
      </c>
      <c r="AJ559" s="5" t="s">
        <v>2</v>
      </c>
      <c r="AK559" s="21" t="s">
        <v>2</v>
      </c>
      <c r="AL559" s="72" t="s">
        <v>3894</v>
      </c>
      <c r="AM559" s="54" t="s">
        <v>4179</v>
      </c>
      <c r="AN559" s="34" t="s">
        <v>512</v>
      </c>
    </row>
    <row r="560" spans="2:40" x14ac:dyDescent="0.3">
      <c r="B560" s="18" t="s">
        <v>942</v>
      </c>
      <c r="C560" s="47" t="s">
        <v>943</v>
      </c>
      <c r="D560" s="15" t="s">
        <v>2382</v>
      </c>
      <c r="E560" s="68" t="s">
        <v>2</v>
      </c>
      <c r="F560" s="55" t="s">
        <v>2</v>
      </c>
      <c r="G560" s="40" t="s">
        <v>2</v>
      </c>
      <c r="H560" s="71" t="s">
        <v>2745</v>
      </c>
      <c r="I560" s="67" t="s">
        <v>2274</v>
      </c>
      <c r="J560" s="73" t="s">
        <v>2</v>
      </c>
      <c r="K560" s="4">
        <v>4000000</v>
      </c>
      <c r="L560" s="41">
        <v>91.076999999999998</v>
      </c>
      <c r="M560" s="4">
        <v>3643080</v>
      </c>
      <c r="N560" s="4">
        <v>4000000</v>
      </c>
      <c r="O560" s="4">
        <v>4000000</v>
      </c>
      <c r="P560" s="4">
        <v>0</v>
      </c>
      <c r="Q560" s="4">
        <v>0</v>
      </c>
      <c r="R560" s="4">
        <v>0</v>
      </c>
      <c r="S560" s="4">
        <v>0</v>
      </c>
      <c r="T560" s="23">
        <v>3.2</v>
      </c>
      <c r="U560" s="23">
        <v>3.2</v>
      </c>
      <c r="V560" s="5" t="s">
        <v>10</v>
      </c>
      <c r="W560" s="4">
        <v>37689</v>
      </c>
      <c r="X560" s="4">
        <v>128000</v>
      </c>
      <c r="Y560" s="14">
        <v>44083</v>
      </c>
      <c r="Z560" s="14">
        <v>46645</v>
      </c>
      <c r="AA560" s="2"/>
      <c r="AB560" s="69" t="s">
        <v>1671</v>
      </c>
      <c r="AC560" s="5" t="s">
        <v>2</v>
      </c>
      <c r="AD560" s="2"/>
      <c r="AE560" s="10"/>
      <c r="AF560" s="23"/>
      <c r="AG560" s="6"/>
      <c r="AH560" s="5" t="s">
        <v>2</v>
      </c>
      <c r="AI560" s="5" t="s">
        <v>3725</v>
      </c>
      <c r="AJ560" s="5" t="s">
        <v>2054</v>
      </c>
      <c r="AK560" s="21" t="s">
        <v>2</v>
      </c>
      <c r="AL560" s="72" t="s">
        <v>3894</v>
      </c>
      <c r="AM560" s="54" t="s">
        <v>4179</v>
      </c>
      <c r="AN560" s="34" t="s">
        <v>1740</v>
      </c>
    </row>
    <row r="561" spans="2:40" x14ac:dyDescent="0.3">
      <c r="B561" s="18" t="s">
        <v>2055</v>
      </c>
      <c r="C561" s="47" t="s">
        <v>3501</v>
      </c>
      <c r="D561" s="15" t="s">
        <v>2382</v>
      </c>
      <c r="E561" s="68" t="s">
        <v>2</v>
      </c>
      <c r="F561" s="55" t="s">
        <v>2</v>
      </c>
      <c r="G561" s="40" t="s">
        <v>2</v>
      </c>
      <c r="H561" s="71" t="s">
        <v>2745</v>
      </c>
      <c r="I561" s="67" t="s">
        <v>2274</v>
      </c>
      <c r="J561" s="73" t="s">
        <v>2</v>
      </c>
      <c r="K561" s="4">
        <v>4000000</v>
      </c>
      <c r="L561" s="41">
        <v>85.269000000000005</v>
      </c>
      <c r="M561" s="4">
        <v>3410760</v>
      </c>
      <c r="N561" s="4">
        <v>4000000</v>
      </c>
      <c r="O561" s="4">
        <v>4000000</v>
      </c>
      <c r="P561" s="4">
        <v>0</v>
      </c>
      <c r="Q561" s="4">
        <v>0</v>
      </c>
      <c r="R561" s="4">
        <v>0</v>
      </c>
      <c r="S561" s="4">
        <v>0</v>
      </c>
      <c r="T561" s="23">
        <v>3.43</v>
      </c>
      <c r="U561" s="23">
        <v>3.43</v>
      </c>
      <c r="V561" s="5" t="s">
        <v>10</v>
      </c>
      <c r="W561" s="4">
        <v>40398</v>
      </c>
      <c r="X561" s="4">
        <v>137200</v>
      </c>
      <c r="Y561" s="14">
        <v>44083</v>
      </c>
      <c r="Z561" s="14">
        <v>47739</v>
      </c>
      <c r="AA561" s="2"/>
      <c r="AB561" s="69" t="s">
        <v>1671</v>
      </c>
      <c r="AC561" s="5" t="s">
        <v>2</v>
      </c>
      <c r="AD561" s="2"/>
      <c r="AE561" s="10"/>
      <c r="AF561" s="23"/>
      <c r="AG561" s="10"/>
      <c r="AH561" s="5" t="s">
        <v>2</v>
      </c>
      <c r="AI561" s="5" t="s">
        <v>3725</v>
      </c>
      <c r="AJ561" s="5" t="s">
        <v>2054</v>
      </c>
      <c r="AK561" s="21" t="s">
        <v>2</v>
      </c>
      <c r="AL561" s="72" t="s">
        <v>3894</v>
      </c>
      <c r="AM561" s="54" t="s">
        <v>4179</v>
      </c>
      <c r="AN561" s="34" t="s">
        <v>1740</v>
      </c>
    </row>
    <row r="562" spans="2:40" x14ac:dyDescent="0.3">
      <c r="B562" s="18" t="s">
        <v>3198</v>
      </c>
      <c r="C562" s="47" t="s">
        <v>2056</v>
      </c>
      <c r="D562" s="15" t="s">
        <v>101</v>
      </c>
      <c r="E562" s="68" t="s">
        <v>2</v>
      </c>
      <c r="F562" s="55" t="s">
        <v>2</v>
      </c>
      <c r="G562" s="40" t="s">
        <v>2</v>
      </c>
      <c r="H562" s="71" t="s">
        <v>2745</v>
      </c>
      <c r="I562" s="67" t="s">
        <v>3660</v>
      </c>
      <c r="J562" s="73" t="s">
        <v>270</v>
      </c>
      <c r="K562" s="4">
        <v>8988120</v>
      </c>
      <c r="L562" s="41">
        <v>94.617000000000004</v>
      </c>
      <c r="M562" s="4">
        <v>8515530</v>
      </c>
      <c r="N562" s="4">
        <v>9000000</v>
      </c>
      <c r="O562" s="4">
        <v>8995354</v>
      </c>
      <c r="P562" s="4">
        <v>0</v>
      </c>
      <c r="Q562" s="4">
        <v>2381</v>
      </c>
      <c r="R562" s="4">
        <v>0</v>
      </c>
      <c r="S562" s="4">
        <v>0</v>
      </c>
      <c r="T562" s="23">
        <v>2.25</v>
      </c>
      <c r="U562" s="23">
        <v>2.278</v>
      </c>
      <c r="V562" s="5" t="s">
        <v>3409</v>
      </c>
      <c r="W562" s="4">
        <v>22500</v>
      </c>
      <c r="X562" s="4">
        <v>202500</v>
      </c>
      <c r="Y562" s="14">
        <v>43783</v>
      </c>
      <c r="Z562" s="14">
        <v>45617</v>
      </c>
      <c r="AA562" s="2"/>
      <c r="AB562" s="69" t="s">
        <v>3892</v>
      </c>
      <c r="AC562" s="5" t="s">
        <v>4178</v>
      </c>
      <c r="AD562" s="2"/>
      <c r="AE562" s="10"/>
      <c r="AF562" s="23"/>
      <c r="AG562" s="6"/>
      <c r="AH562" s="5" t="s">
        <v>2</v>
      </c>
      <c r="AI562" s="5" t="s">
        <v>4334</v>
      </c>
      <c r="AJ562" s="5" t="s">
        <v>824</v>
      </c>
      <c r="AK562" s="21" t="s">
        <v>2</v>
      </c>
      <c r="AL562" s="72" t="s">
        <v>2745</v>
      </c>
      <c r="AM562" s="54" t="s">
        <v>4179</v>
      </c>
      <c r="AN562" s="34" t="s">
        <v>1170</v>
      </c>
    </row>
    <row r="563" spans="2:40" x14ac:dyDescent="0.3">
      <c r="B563" s="18" t="s">
        <v>4335</v>
      </c>
      <c r="C563" s="47" t="s">
        <v>358</v>
      </c>
      <c r="D563" s="15" t="s">
        <v>1258</v>
      </c>
      <c r="E563" s="68" t="s">
        <v>2</v>
      </c>
      <c r="F563" s="55" t="s">
        <v>2</v>
      </c>
      <c r="G563" s="40" t="s">
        <v>2745</v>
      </c>
      <c r="H563" s="71" t="s">
        <v>2745</v>
      </c>
      <c r="I563" s="67" t="s">
        <v>3660</v>
      </c>
      <c r="J563" s="73" t="s">
        <v>270</v>
      </c>
      <c r="K563" s="4">
        <v>13373725</v>
      </c>
      <c r="L563" s="41">
        <v>84.328999999999994</v>
      </c>
      <c r="M563" s="4">
        <v>10899523</v>
      </c>
      <c r="N563" s="4">
        <v>12925000</v>
      </c>
      <c r="O563" s="4">
        <v>13286878</v>
      </c>
      <c r="P563" s="4">
        <v>0</v>
      </c>
      <c r="Q563" s="4">
        <v>-51564</v>
      </c>
      <c r="R563" s="4">
        <v>0</v>
      </c>
      <c r="S563" s="4">
        <v>0</v>
      </c>
      <c r="T563" s="23">
        <v>2.532</v>
      </c>
      <c r="U563" s="23">
        <v>2.069</v>
      </c>
      <c r="V563" s="5" t="s">
        <v>3895</v>
      </c>
      <c r="W563" s="4">
        <v>81815</v>
      </c>
      <c r="X563" s="4">
        <v>327261</v>
      </c>
      <c r="Y563" s="14">
        <v>44306</v>
      </c>
      <c r="Z563" s="14">
        <v>47392</v>
      </c>
      <c r="AA563" s="2"/>
      <c r="AB563" s="69" t="s">
        <v>3892</v>
      </c>
      <c r="AC563" s="5" t="s">
        <v>4178</v>
      </c>
      <c r="AD563" s="2"/>
      <c r="AE563" s="14">
        <v>47300</v>
      </c>
      <c r="AF563" s="23">
        <v>100</v>
      </c>
      <c r="AG563" s="14">
        <v>47300</v>
      </c>
      <c r="AH563" s="5" t="s">
        <v>2</v>
      </c>
      <c r="AI563" s="5" t="s">
        <v>1258</v>
      </c>
      <c r="AJ563" s="5" t="s">
        <v>2</v>
      </c>
      <c r="AK563" s="21" t="s">
        <v>2</v>
      </c>
      <c r="AL563" s="72" t="s">
        <v>3894</v>
      </c>
      <c r="AM563" s="54" t="s">
        <v>4179</v>
      </c>
      <c r="AN563" s="34" t="s">
        <v>1170</v>
      </c>
    </row>
    <row r="564" spans="2:40" x14ac:dyDescent="0.3">
      <c r="B564" s="18" t="s">
        <v>1259</v>
      </c>
      <c r="C564" s="47" t="s">
        <v>1480</v>
      </c>
      <c r="D564" s="15" t="s">
        <v>3726</v>
      </c>
      <c r="E564" s="68" t="s">
        <v>2</v>
      </c>
      <c r="F564" s="55" t="s">
        <v>2</v>
      </c>
      <c r="G564" s="40" t="s">
        <v>2745</v>
      </c>
      <c r="H564" s="71" t="s">
        <v>3894</v>
      </c>
      <c r="I564" s="67" t="s">
        <v>8</v>
      </c>
      <c r="J564" s="73" t="s">
        <v>270</v>
      </c>
      <c r="K564" s="4">
        <v>4497885</v>
      </c>
      <c r="L564" s="41">
        <v>96.759</v>
      </c>
      <c r="M564" s="4">
        <v>4354155</v>
      </c>
      <c r="N564" s="4">
        <v>4500000</v>
      </c>
      <c r="O564" s="4">
        <v>4499364</v>
      </c>
      <c r="P564" s="4">
        <v>0</v>
      </c>
      <c r="Q564" s="4">
        <v>422</v>
      </c>
      <c r="R564" s="4">
        <v>0</v>
      </c>
      <c r="S564" s="4">
        <v>0</v>
      </c>
      <c r="T564" s="23">
        <v>2.875</v>
      </c>
      <c r="U564" s="23">
        <v>2.8849999999999998</v>
      </c>
      <c r="V564" s="5" t="s">
        <v>3898</v>
      </c>
      <c r="W564" s="4">
        <v>5750</v>
      </c>
      <c r="X564" s="4">
        <v>129375</v>
      </c>
      <c r="Y564" s="14">
        <v>43619</v>
      </c>
      <c r="Z564" s="14">
        <v>45458</v>
      </c>
      <c r="AA564" s="2"/>
      <c r="AB564" s="69" t="s">
        <v>3892</v>
      </c>
      <c r="AC564" s="5" t="s">
        <v>4178</v>
      </c>
      <c r="AD564" s="2"/>
      <c r="AE564" s="14">
        <v>45427</v>
      </c>
      <c r="AF564" s="23">
        <v>100</v>
      </c>
      <c r="AG564" s="6"/>
      <c r="AH564" s="5" t="s">
        <v>2057</v>
      </c>
      <c r="AI564" s="5" t="s">
        <v>2383</v>
      </c>
      <c r="AJ564" s="5" t="s">
        <v>2383</v>
      </c>
      <c r="AK564" s="21" t="s">
        <v>2</v>
      </c>
      <c r="AL564" s="72" t="s">
        <v>3894</v>
      </c>
      <c r="AM564" s="54" t="s">
        <v>4179</v>
      </c>
      <c r="AN564" s="34" t="s">
        <v>1189</v>
      </c>
    </row>
    <row r="565" spans="2:40" x14ac:dyDescent="0.3">
      <c r="B565" s="18" t="s">
        <v>2384</v>
      </c>
      <c r="C565" s="47" t="s">
        <v>2860</v>
      </c>
      <c r="D565" s="15" t="s">
        <v>2385</v>
      </c>
      <c r="E565" s="68" t="s">
        <v>2</v>
      </c>
      <c r="F565" s="55" t="s">
        <v>2</v>
      </c>
      <c r="G565" s="40" t="s">
        <v>2745</v>
      </c>
      <c r="H565" s="71" t="s">
        <v>3894</v>
      </c>
      <c r="I565" s="67" t="s">
        <v>1164</v>
      </c>
      <c r="J565" s="73" t="s">
        <v>270</v>
      </c>
      <c r="K565" s="4">
        <v>3000000</v>
      </c>
      <c r="L565" s="41">
        <v>85.391000000000005</v>
      </c>
      <c r="M565" s="4">
        <v>2561730</v>
      </c>
      <c r="N565" s="4">
        <v>3000000</v>
      </c>
      <c r="O565" s="4">
        <v>3000000</v>
      </c>
      <c r="P565" s="4">
        <v>0</v>
      </c>
      <c r="Q565" s="4">
        <v>0</v>
      </c>
      <c r="R565" s="4">
        <v>0</v>
      </c>
      <c r="S565" s="4">
        <v>0</v>
      </c>
      <c r="T565" s="23">
        <v>2.379</v>
      </c>
      <c r="U565" s="23">
        <v>2.3769999999999998</v>
      </c>
      <c r="V565" s="5" t="s">
        <v>3898</v>
      </c>
      <c r="W565" s="4">
        <v>3172</v>
      </c>
      <c r="X565" s="4">
        <v>71568</v>
      </c>
      <c r="Y565" s="14">
        <v>44488</v>
      </c>
      <c r="Z565" s="14">
        <v>46919</v>
      </c>
      <c r="AA565" s="2"/>
      <c r="AB565" s="69" t="s">
        <v>3892</v>
      </c>
      <c r="AC565" s="5" t="s">
        <v>4178</v>
      </c>
      <c r="AD565" s="2"/>
      <c r="AE565" s="14">
        <v>46858</v>
      </c>
      <c r="AF565" s="23">
        <v>100</v>
      </c>
      <c r="AG565" s="6"/>
      <c r="AH565" s="5" t="s">
        <v>1260</v>
      </c>
      <c r="AI565" s="5" t="s">
        <v>2385</v>
      </c>
      <c r="AJ565" s="5" t="s">
        <v>2</v>
      </c>
      <c r="AK565" s="21" t="s">
        <v>2</v>
      </c>
      <c r="AL565" s="72" t="s">
        <v>2745</v>
      </c>
      <c r="AM565" s="54" t="s">
        <v>4179</v>
      </c>
      <c r="AN565" s="34" t="s">
        <v>828</v>
      </c>
    </row>
    <row r="566" spans="2:40" x14ac:dyDescent="0.3">
      <c r="B566" s="18" t="s">
        <v>4336</v>
      </c>
      <c r="C566" s="47" t="s">
        <v>359</v>
      </c>
      <c r="D566" s="15" t="s">
        <v>2602</v>
      </c>
      <c r="E566" s="68" t="s">
        <v>2</v>
      </c>
      <c r="F566" s="55" t="s">
        <v>2</v>
      </c>
      <c r="G566" s="40" t="s">
        <v>2</v>
      </c>
      <c r="H566" s="71" t="s">
        <v>2745</v>
      </c>
      <c r="I566" s="67" t="s">
        <v>3408</v>
      </c>
      <c r="J566" s="73" t="s">
        <v>270</v>
      </c>
      <c r="K566" s="4">
        <v>15282478</v>
      </c>
      <c r="L566" s="41">
        <v>88.93</v>
      </c>
      <c r="M566" s="4">
        <v>13593635</v>
      </c>
      <c r="N566" s="4">
        <v>15285769</v>
      </c>
      <c r="O566" s="4">
        <v>15283170</v>
      </c>
      <c r="P566" s="4">
        <v>0</v>
      </c>
      <c r="Q566" s="4">
        <v>692</v>
      </c>
      <c r="R566" s="4">
        <v>0</v>
      </c>
      <c r="S566" s="4">
        <v>0</v>
      </c>
      <c r="T566" s="23">
        <v>2.3069999999999999</v>
      </c>
      <c r="U566" s="23">
        <v>2.31</v>
      </c>
      <c r="V566" s="5" t="s">
        <v>3898</v>
      </c>
      <c r="W566" s="4">
        <v>29387</v>
      </c>
      <c r="X566" s="4">
        <v>285053</v>
      </c>
      <c r="Y566" s="14">
        <v>44599</v>
      </c>
      <c r="Z566" s="14">
        <v>47818</v>
      </c>
      <c r="AA566" s="2"/>
      <c r="AB566" s="69" t="s">
        <v>3892</v>
      </c>
      <c r="AC566" s="5" t="s">
        <v>7</v>
      </c>
      <c r="AD566" s="2"/>
      <c r="AE566" s="10"/>
      <c r="AF566" s="23"/>
      <c r="AG566" s="6"/>
      <c r="AH566" s="5" t="s">
        <v>2</v>
      </c>
      <c r="AI566" s="5" t="s">
        <v>599</v>
      </c>
      <c r="AJ566" s="5" t="s">
        <v>824</v>
      </c>
      <c r="AK566" s="21" t="s">
        <v>2</v>
      </c>
      <c r="AL566" s="72" t="s">
        <v>2745</v>
      </c>
      <c r="AM566" s="54" t="s">
        <v>4179</v>
      </c>
      <c r="AN566" s="34" t="s">
        <v>2278</v>
      </c>
    </row>
    <row r="567" spans="2:40" x14ac:dyDescent="0.3">
      <c r="B567" s="18" t="s">
        <v>944</v>
      </c>
      <c r="C567" s="47" t="s">
        <v>945</v>
      </c>
      <c r="D567" s="15" t="s">
        <v>549</v>
      </c>
      <c r="E567" s="68" t="s">
        <v>2</v>
      </c>
      <c r="F567" s="55" t="s">
        <v>2</v>
      </c>
      <c r="G567" s="40" t="s">
        <v>2745</v>
      </c>
      <c r="H567" s="71" t="s">
        <v>3894</v>
      </c>
      <c r="I567" s="67" t="s">
        <v>3408</v>
      </c>
      <c r="J567" s="73" t="s">
        <v>270</v>
      </c>
      <c r="K567" s="4">
        <v>4987350</v>
      </c>
      <c r="L567" s="41">
        <v>93.206999999999994</v>
      </c>
      <c r="M567" s="4">
        <v>4660350</v>
      </c>
      <c r="N567" s="4">
        <v>5000000</v>
      </c>
      <c r="O567" s="4">
        <v>4993931</v>
      </c>
      <c r="P567" s="4">
        <v>0</v>
      </c>
      <c r="Q567" s="4">
        <v>2513</v>
      </c>
      <c r="R567" s="4">
        <v>0</v>
      </c>
      <c r="S567" s="4">
        <v>0</v>
      </c>
      <c r="T567" s="23">
        <v>2.25</v>
      </c>
      <c r="U567" s="23">
        <v>2.3039999999999998</v>
      </c>
      <c r="V567" s="5" t="s">
        <v>3895</v>
      </c>
      <c r="W567" s="4">
        <v>19688</v>
      </c>
      <c r="X567" s="4">
        <v>112500</v>
      </c>
      <c r="Y567" s="14">
        <v>43948</v>
      </c>
      <c r="Z567" s="14">
        <v>45775</v>
      </c>
      <c r="AA567" s="2"/>
      <c r="AB567" s="69" t="s">
        <v>3892</v>
      </c>
      <c r="AC567" s="5" t="s">
        <v>4178</v>
      </c>
      <c r="AD567" s="2"/>
      <c r="AE567" s="14">
        <v>45744</v>
      </c>
      <c r="AF567" s="23">
        <v>100</v>
      </c>
      <c r="AG567" s="6"/>
      <c r="AH567" s="5" t="s">
        <v>2</v>
      </c>
      <c r="AI567" s="5" t="s">
        <v>549</v>
      </c>
      <c r="AJ567" s="5" t="s">
        <v>2</v>
      </c>
      <c r="AK567" s="21" t="s">
        <v>2</v>
      </c>
      <c r="AL567" s="72" t="s">
        <v>3894</v>
      </c>
      <c r="AM567" s="54" t="s">
        <v>4179</v>
      </c>
      <c r="AN567" s="34" t="s">
        <v>1650</v>
      </c>
    </row>
    <row r="568" spans="2:40" x14ac:dyDescent="0.3">
      <c r="B568" s="18" t="s">
        <v>2058</v>
      </c>
      <c r="C568" s="47" t="s">
        <v>3502</v>
      </c>
      <c r="D568" s="15" t="s">
        <v>1481</v>
      </c>
      <c r="E568" s="68" t="s">
        <v>2</v>
      </c>
      <c r="F568" s="55" t="s">
        <v>2</v>
      </c>
      <c r="G568" s="40" t="s">
        <v>2745</v>
      </c>
      <c r="H568" s="71" t="s">
        <v>3894</v>
      </c>
      <c r="I568" s="67" t="s">
        <v>1164</v>
      </c>
      <c r="J568" s="73" t="s">
        <v>270</v>
      </c>
      <c r="K568" s="4">
        <v>9037103</v>
      </c>
      <c r="L568" s="41">
        <v>77.22</v>
      </c>
      <c r="M568" s="4">
        <v>7471807</v>
      </c>
      <c r="N568" s="4">
        <v>9676000</v>
      </c>
      <c r="O568" s="4">
        <v>9136628</v>
      </c>
      <c r="P568" s="4">
        <v>0</v>
      </c>
      <c r="Q568" s="4">
        <v>62576</v>
      </c>
      <c r="R568" s="4">
        <v>0</v>
      </c>
      <c r="S568" s="4">
        <v>0</v>
      </c>
      <c r="T568" s="23">
        <v>1.75</v>
      </c>
      <c r="U568" s="23">
        <v>2.5510000000000002</v>
      </c>
      <c r="V568" s="5" t="s">
        <v>10</v>
      </c>
      <c r="W568" s="4">
        <v>49858</v>
      </c>
      <c r="X568" s="4">
        <v>169330</v>
      </c>
      <c r="Y568" s="14">
        <v>44354</v>
      </c>
      <c r="Z568" s="14">
        <v>47741</v>
      </c>
      <c r="AA568" s="2"/>
      <c r="AB568" s="69" t="s">
        <v>3892</v>
      </c>
      <c r="AC568" s="5" t="s">
        <v>4178</v>
      </c>
      <c r="AD568" s="2"/>
      <c r="AE568" s="14">
        <v>47649</v>
      </c>
      <c r="AF568" s="23">
        <v>100</v>
      </c>
      <c r="AG568" s="6"/>
      <c r="AH568" s="5" t="s">
        <v>2861</v>
      </c>
      <c r="AI568" s="5" t="s">
        <v>1481</v>
      </c>
      <c r="AJ568" s="5" t="s">
        <v>2</v>
      </c>
      <c r="AK568" s="21" t="s">
        <v>2</v>
      </c>
      <c r="AL568" s="72" t="s">
        <v>3894</v>
      </c>
      <c r="AM568" s="54" t="s">
        <v>4179</v>
      </c>
      <c r="AN568" s="34" t="s">
        <v>828</v>
      </c>
    </row>
    <row r="569" spans="2:40" x14ac:dyDescent="0.3">
      <c r="B569" s="18" t="s">
        <v>3199</v>
      </c>
      <c r="C569" s="47" t="s">
        <v>2386</v>
      </c>
      <c r="D569" s="15" t="s">
        <v>3727</v>
      </c>
      <c r="E569" s="68" t="s">
        <v>2</v>
      </c>
      <c r="F569" s="55" t="s">
        <v>2</v>
      </c>
      <c r="G569" s="40" t="s">
        <v>2745</v>
      </c>
      <c r="H569" s="71" t="s">
        <v>3894</v>
      </c>
      <c r="I569" s="67" t="s">
        <v>3408</v>
      </c>
      <c r="J569" s="73" t="s">
        <v>270</v>
      </c>
      <c r="K569" s="4">
        <v>4984750</v>
      </c>
      <c r="L569" s="41">
        <v>93.58</v>
      </c>
      <c r="M569" s="4">
        <v>4679000</v>
      </c>
      <c r="N569" s="4">
        <v>5000000</v>
      </c>
      <c r="O569" s="4">
        <v>4992522</v>
      </c>
      <c r="P569" s="4">
        <v>0</v>
      </c>
      <c r="Q569" s="4">
        <v>3022</v>
      </c>
      <c r="R569" s="4">
        <v>0</v>
      </c>
      <c r="S569" s="4">
        <v>0</v>
      </c>
      <c r="T569" s="23">
        <v>2.25</v>
      </c>
      <c r="U569" s="23">
        <v>2.3149999999999999</v>
      </c>
      <c r="V569" s="5" t="s">
        <v>3409</v>
      </c>
      <c r="W569" s="4">
        <v>13438</v>
      </c>
      <c r="X569" s="4">
        <v>112500</v>
      </c>
      <c r="Y569" s="14">
        <v>43964</v>
      </c>
      <c r="Z569" s="14">
        <v>45795</v>
      </c>
      <c r="AA569" s="2"/>
      <c r="AB569" s="69" t="s">
        <v>3892</v>
      </c>
      <c r="AC569" s="5" t="s">
        <v>4178</v>
      </c>
      <c r="AD569" s="2"/>
      <c r="AE569" s="9">
        <v>45765</v>
      </c>
      <c r="AF569" s="23">
        <v>100</v>
      </c>
      <c r="AG569" s="6"/>
      <c r="AH569" s="5" t="s">
        <v>2387</v>
      </c>
      <c r="AI569" s="5" t="s">
        <v>3727</v>
      </c>
      <c r="AJ569" s="5" t="s">
        <v>2</v>
      </c>
      <c r="AK569" s="21" t="s">
        <v>2</v>
      </c>
      <c r="AL569" s="72" t="s">
        <v>3894</v>
      </c>
      <c r="AM569" s="54" t="s">
        <v>4179</v>
      </c>
      <c r="AN569" s="34" t="s">
        <v>1650</v>
      </c>
    </row>
    <row r="570" spans="2:40" x14ac:dyDescent="0.3">
      <c r="B570" s="18" t="s">
        <v>4337</v>
      </c>
      <c r="C570" s="47" t="s">
        <v>360</v>
      </c>
      <c r="D570" s="15" t="s">
        <v>3727</v>
      </c>
      <c r="E570" s="68" t="s">
        <v>2</v>
      </c>
      <c r="F570" s="55" t="s">
        <v>2</v>
      </c>
      <c r="G570" s="40" t="s">
        <v>2745</v>
      </c>
      <c r="H570" s="71" t="s">
        <v>3894</v>
      </c>
      <c r="I570" s="67" t="s">
        <v>3408</v>
      </c>
      <c r="J570" s="73" t="s">
        <v>270</v>
      </c>
      <c r="K570" s="4">
        <v>14961750</v>
      </c>
      <c r="L570" s="41">
        <v>85.043999999999997</v>
      </c>
      <c r="M570" s="4">
        <v>12756600</v>
      </c>
      <c r="N570" s="4">
        <v>15000000</v>
      </c>
      <c r="O570" s="4">
        <v>14968942</v>
      </c>
      <c r="P570" s="4">
        <v>0</v>
      </c>
      <c r="Q570" s="4">
        <v>5206</v>
      </c>
      <c r="R570" s="4">
        <v>0</v>
      </c>
      <c r="S570" s="4">
        <v>0</v>
      </c>
      <c r="T570" s="23">
        <v>1.8</v>
      </c>
      <c r="U570" s="23">
        <v>1.839</v>
      </c>
      <c r="V570" s="5" t="s">
        <v>268</v>
      </c>
      <c r="W570" s="4">
        <v>104250</v>
      </c>
      <c r="X570" s="4">
        <v>270000</v>
      </c>
      <c r="Y570" s="14">
        <v>44417</v>
      </c>
      <c r="Z570" s="14">
        <v>46977</v>
      </c>
      <c r="AA570" s="2"/>
      <c r="AB570" s="69" t="s">
        <v>3892</v>
      </c>
      <c r="AC570" s="5" t="s">
        <v>4178</v>
      </c>
      <c r="AD570" s="2"/>
      <c r="AE570" s="9">
        <v>46916</v>
      </c>
      <c r="AF570" s="23">
        <v>100</v>
      </c>
      <c r="AG570" s="6"/>
      <c r="AH570" s="5" t="s">
        <v>2387</v>
      </c>
      <c r="AI570" s="5" t="s">
        <v>3727</v>
      </c>
      <c r="AJ570" s="5" t="s">
        <v>2</v>
      </c>
      <c r="AK570" s="21" t="s">
        <v>2</v>
      </c>
      <c r="AL570" s="72" t="s">
        <v>3894</v>
      </c>
      <c r="AM570" s="54" t="s">
        <v>4179</v>
      </c>
      <c r="AN570" s="34" t="s">
        <v>1650</v>
      </c>
    </row>
    <row r="571" spans="2:40" x14ac:dyDescent="0.3">
      <c r="B571" s="18" t="s">
        <v>946</v>
      </c>
      <c r="C571" s="47" t="s">
        <v>3503</v>
      </c>
      <c r="D571" s="15" t="s">
        <v>3990</v>
      </c>
      <c r="E571" s="68" t="s">
        <v>2</v>
      </c>
      <c r="F571" s="55" t="s">
        <v>2</v>
      </c>
      <c r="G571" s="40" t="s">
        <v>2745</v>
      </c>
      <c r="H571" s="71" t="s">
        <v>3894</v>
      </c>
      <c r="I571" s="67" t="s">
        <v>8</v>
      </c>
      <c r="J571" s="73" t="s">
        <v>270</v>
      </c>
      <c r="K571" s="4">
        <v>5025150</v>
      </c>
      <c r="L571" s="41">
        <v>99.96</v>
      </c>
      <c r="M571" s="4">
        <v>4998000</v>
      </c>
      <c r="N571" s="4">
        <v>5000000</v>
      </c>
      <c r="O571" s="4">
        <v>5000131</v>
      </c>
      <c r="P571" s="4">
        <v>0</v>
      </c>
      <c r="Q571" s="4">
        <v>-6086</v>
      </c>
      <c r="R571" s="4">
        <v>0</v>
      </c>
      <c r="S571" s="4">
        <v>0</v>
      </c>
      <c r="T571" s="23">
        <v>4.5</v>
      </c>
      <c r="U571" s="23">
        <v>4.3579999999999997</v>
      </c>
      <c r="V571" s="5" t="s">
        <v>3895</v>
      </c>
      <c r="W571" s="4">
        <v>47500</v>
      </c>
      <c r="X571" s="4">
        <v>225000</v>
      </c>
      <c r="Y571" s="14">
        <v>43447</v>
      </c>
      <c r="Z571" s="14">
        <v>45031</v>
      </c>
      <c r="AA571" s="2"/>
      <c r="AB571" s="69" t="s">
        <v>3892</v>
      </c>
      <c r="AC571" s="5" t="s">
        <v>4178</v>
      </c>
      <c r="AD571" s="2"/>
      <c r="AE571" s="14">
        <v>44941</v>
      </c>
      <c r="AF571" s="23">
        <v>100</v>
      </c>
      <c r="AG571" s="9">
        <v>44941</v>
      </c>
      <c r="AH571" s="5" t="s">
        <v>2</v>
      </c>
      <c r="AI571" s="5" t="s">
        <v>3991</v>
      </c>
      <c r="AJ571" s="5" t="s">
        <v>2603</v>
      </c>
      <c r="AK571" s="21" t="s">
        <v>2</v>
      </c>
      <c r="AL571" s="72" t="s">
        <v>3894</v>
      </c>
      <c r="AM571" s="54" t="s">
        <v>4179</v>
      </c>
      <c r="AN571" s="34" t="s">
        <v>1189</v>
      </c>
    </row>
    <row r="572" spans="2:40" x14ac:dyDescent="0.3">
      <c r="B572" s="18" t="s">
        <v>2388</v>
      </c>
      <c r="C572" s="47" t="s">
        <v>102</v>
      </c>
      <c r="D572" s="15" t="s">
        <v>1482</v>
      </c>
      <c r="E572" s="68" t="s">
        <v>2</v>
      </c>
      <c r="F572" s="55" t="s">
        <v>2</v>
      </c>
      <c r="G572" s="40" t="s">
        <v>2745</v>
      </c>
      <c r="H572" s="71" t="s">
        <v>2745</v>
      </c>
      <c r="I572" s="67" t="s">
        <v>3660</v>
      </c>
      <c r="J572" s="73" t="s">
        <v>270</v>
      </c>
      <c r="K572" s="4">
        <v>20425254</v>
      </c>
      <c r="L572" s="41">
        <v>90.037000000000006</v>
      </c>
      <c r="M572" s="4">
        <v>18277511</v>
      </c>
      <c r="N572" s="4">
        <v>20300000</v>
      </c>
      <c r="O572" s="4">
        <v>20376135</v>
      </c>
      <c r="P572" s="4">
        <v>0</v>
      </c>
      <c r="Q572" s="4">
        <v>-17645</v>
      </c>
      <c r="R572" s="4">
        <v>0</v>
      </c>
      <c r="S572" s="4">
        <v>0</v>
      </c>
      <c r="T572" s="23">
        <v>2.75</v>
      </c>
      <c r="U572" s="23">
        <v>2.6520000000000001</v>
      </c>
      <c r="V572" s="5" t="s">
        <v>1916</v>
      </c>
      <c r="W572" s="4">
        <v>248111</v>
      </c>
      <c r="X572" s="4">
        <v>558250</v>
      </c>
      <c r="Y572" s="14">
        <v>43873</v>
      </c>
      <c r="Z572" s="14">
        <v>46408</v>
      </c>
      <c r="AA572" s="2"/>
      <c r="AB572" s="69" t="s">
        <v>3892</v>
      </c>
      <c r="AC572" s="5" t="s">
        <v>4178</v>
      </c>
      <c r="AD572" s="2"/>
      <c r="AE572" s="10"/>
      <c r="AF572" s="23"/>
      <c r="AG572" s="6"/>
      <c r="AH572" s="5" t="s">
        <v>2</v>
      </c>
      <c r="AI572" s="5" t="s">
        <v>3992</v>
      </c>
      <c r="AJ572" s="5" t="s">
        <v>824</v>
      </c>
      <c r="AK572" s="21" t="s">
        <v>2</v>
      </c>
      <c r="AL572" s="72" t="s">
        <v>2745</v>
      </c>
      <c r="AM572" s="54" t="s">
        <v>4179</v>
      </c>
      <c r="AN572" s="34" t="s">
        <v>1170</v>
      </c>
    </row>
    <row r="573" spans="2:40" x14ac:dyDescent="0.3">
      <c r="B573" s="18" t="s">
        <v>3504</v>
      </c>
      <c r="C573" s="47" t="s">
        <v>3505</v>
      </c>
      <c r="D573" s="15" t="s">
        <v>1482</v>
      </c>
      <c r="E573" s="68" t="s">
        <v>2</v>
      </c>
      <c r="F573" s="55" t="s">
        <v>2</v>
      </c>
      <c r="G573" s="40" t="s">
        <v>2745</v>
      </c>
      <c r="H573" s="71" t="s">
        <v>2745</v>
      </c>
      <c r="I573" s="67" t="s">
        <v>3660</v>
      </c>
      <c r="J573" s="73" t="s">
        <v>270</v>
      </c>
      <c r="K573" s="4">
        <v>4978250</v>
      </c>
      <c r="L573" s="41">
        <v>93.756</v>
      </c>
      <c r="M573" s="4">
        <v>4687800</v>
      </c>
      <c r="N573" s="4">
        <v>5000000</v>
      </c>
      <c r="O573" s="4">
        <v>4989398</v>
      </c>
      <c r="P573" s="4">
        <v>0</v>
      </c>
      <c r="Q573" s="4">
        <v>4304</v>
      </c>
      <c r="R573" s="4">
        <v>0</v>
      </c>
      <c r="S573" s="4">
        <v>0</v>
      </c>
      <c r="T573" s="23">
        <v>2.75</v>
      </c>
      <c r="U573" s="23">
        <v>2.8439999999999999</v>
      </c>
      <c r="V573" s="5" t="s">
        <v>3409</v>
      </c>
      <c r="W573" s="4">
        <v>20625</v>
      </c>
      <c r="X573" s="4">
        <v>137500</v>
      </c>
      <c r="Y573" s="14">
        <v>43951</v>
      </c>
      <c r="Z573" s="14">
        <v>45784</v>
      </c>
      <c r="AA573" s="2"/>
      <c r="AB573" s="69" t="s">
        <v>3892</v>
      </c>
      <c r="AC573" s="5" t="s">
        <v>4178</v>
      </c>
      <c r="AD573" s="2"/>
      <c r="AE573" s="10"/>
      <c r="AF573" s="23"/>
      <c r="AG573" s="6"/>
      <c r="AH573" s="5" t="s">
        <v>2</v>
      </c>
      <c r="AI573" s="5" t="s">
        <v>3992</v>
      </c>
      <c r="AJ573" s="5" t="s">
        <v>824</v>
      </c>
      <c r="AK573" s="21" t="s">
        <v>2</v>
      </c>
      <c r="AL573" s="72" t="s">
        <v>2745</v>
      </c>
      <c r="AM573" s="54" t="s">
        <v>4179</v>
      </c>
      <c r="AN573" s="34" t="s">
        <v>1170</v>
      </c>
    </row>
    <row r="574" spans="2:40" x14ac:dyDescent="0.3">
      <c r="B574" s="18" t="s">
        <v>103</v>
      </c>
      <c r="C574" s="47" t="s">
        <v>600</v>
      </c>
      <c r="D574" s="15" t="s">
        <v>2604</v>
      </c>
      <c r="E574" s="68" t="s">
        <v>2</v>
      </c>
      <c r="F574" s="55" t="s">
        <v>2</v>
      </c>
      <c r="G574" s="40" t="s">
        <v>2</v>
      </c>
      <c r="H574" s="71" t="s">
        <v>3894</v>
      </c>
      <c r="I574" s="67" t="s">
        <v>3408</v>
      </c>
      <c r="J574" s="73" t="s">
        <v>2</v>
      </c>
      <c r="K574" s="4">
        <v>8000000</v>
      </c>
      <c r="L574" s="41">
        <v>93.585999999999999</v>
      </c>
      <c r="M574" s="4">
        <v>7486880</v>
      </c>
      <c r="N574" s="4">
        <v>8000000</v>
      </c>
      <c r="O574" s="4">
        <v>8000000</v>
      </c>
      <c r="P574" s="4">
        <v>0</v>
      </c>
      <c r="Q574" s="4">
        <v>0</v>
      </c>
      <c r="R574" s="4">
        <v>0</v>
      </c>
      <c r="S574" s="4">
        <v>0</v>
      </c>
      <c r="T574" s="23">
        <v>3.24</v>
      </c>
      <c r="U574" s="23">
        <v>3.24</v>
      </c>
      <c r="V574" s="5" t="s">
        <v>1916</v>
      </c>
      <c r="W574" s="4">
        <v>123120</v>
      </c>
      <c r="X574" s="4">
        <v>259200</v>
      </c>
      <c r="Y574" s="14">
        <v>43656</v>
      </c>
      <c r="Z574" s="14">
        <v>46213</v>
      </c>
      <c r="AA574" s="2"/>
      <c r="AB574" s="69" t="s">
        <v>1671</v>
      </c>
      <c r="AC574" s="5" t="s">
        <v>2</v>
      </c>
      <c r="AD574" s="2"/>
      <c r="AE574" s="6"/>
      <c r="AF574" s="23"/>
      <c r="AG574" s="6"/>
      <c r="AH574" s="5" t="s">
        <v>2</v>
      </c>
      <c r="AI574" s="5" t="s">
        <v>2604</v>
      </c>
      <c r="AJ574" s="5" t="s">
        <v>2</v>
      </c>
      <c r="AK574" s="21" t="s">
        <v>2</v>
      </c>
      <c r="AL574" s="72" t="s">
        <v>3894</v>
      </c>
      <c r="AM574" s="54" t="s">
        <v>4179</v>
      </c>
      <c r="AN574" s="34" t="s">
        <v>317</v>
      </c>
    </row>
    <row r="575" spans="2:40" x14ac:dyDescent="0.3">
      <c r="B575" s="18" t="s">
        <v>1261</v>
      </c>
      <c r="C575" s="47" t="s">
        <v>3506</v>
      </c>
      <c r="D575" s="15" t="s">
        <v>2059</v>
      </c>
      <c r="E575" s="68" t="s">
        <v>2</v>
      </c>
      <c r="F575" s="55" t="s">
        <v>2</v>
      </c>
      <c r="G575" s="40" t="s">
        <v>2745</v>
      </c>
      <c r="H575" s="71" t="s">
        <v>2745</v>
      </c>
      <c r="I575" s="67" t="s">
        <v>1164</v>
      </c>
      <c r="J575" s="73" t="s">
        <v>270</v>
      </c>
      <c r="K575" s="4">
        <v>968460</v>
      </c>
      <c r="L575" s="41">
        <v>95.543999999999997</v>
      </c>
      <c r="M575" s="4">
        <v>955440</v>
      </c>
      <c r="N575" s="4">
        <v>1000000</v>
      </c>
      <c r="O575" s="4">
        <v>986798</v>
      </c>
      <c r="P575" s="4">
        <v>0</v>
      </c>
      <c r="Q575" s="4">
        <v>4321</v>
      </c>
      <c r="R575" s="4">
        <v>0</v>
      </c>
      <c r="S575" s="4">
        <v>0</v>
      </c>
      <c r="T575" s="23">
        <v>3</v>
      </c>
      <c r="U575" s="23">
        <v>3.4889999999999999</v>
      </c>
      <c r="V575" s="5" t="s">
        <v>3409</v>
      </c>
      <c r="W575" s="4">
        <v>4250</v>
      </c>
      <c r="X575" s="4">
        <v>30000</v>
      </c>
      <c r="Y575" s="14">
        <v>43278</v>
      </c>
      <c r="Z575" s="14">
        <v>45971</v>
      </c>
      <c r="AA575" s="2"/>
      <c r="AB575" s="69" t="s">
        <v>3892</v>
      </c>
      <c r="AC575" s="5" t="s">
        <v>4178</v>
      </c>
      <c r="AD575" s="2"/>
      <c r="AE575" s="9">
        <v>45879</v>
      </c>
      <c r="AF575" s="23">
        <v>100</v>
      </c>
      <c r="AG575" s="6"/>
      <c r="AH575" s="5" t="s">
        <v>601</v>
      </c>
      <c r="AI575" s="5" t="s">
        <v>3507</v>
      </c>
      <c r="AJ575" s="5" t="s">
        <v>824</v>
      </c>
      <c r="AK575" s="21" t="s">
        <v>2</v>
      </c>
      <c r="AL575" s="72" t="s">
        <v>3894</v>
      </c>
      <c r="AM575" s="54" t="s">
        <v>4179</v>
      </c>
      <c r="AN575" s="34" t="s">
        <v>1625</v>
      </c>
    </row>
    <row r="576" spans="2:40" x14ac:dyDescent="0.3">
      <c r="B576" s="18" t="s">
        <v>3200</v>
      </c>
      <c r="C576" s="47" t="s">
        <v>104</v>
      </c>
      <c r="D576" s="15" t="s">
        <v>2059</v>
      </c>
      <c r="E576" s="68" t="s">
        <v>2</v>
      </c>
      <c r="F576" s="55" t="s">
        <v>2</v>
      </c>
      <c r="G576" s="40" t="s">
        <v>2745</v>
      </c>
      <c r="H576" s="71" t="s">
        <v>2745</v>
      </c>
      <c r="I576" s="67" t="s">
        <v>1164</v>
      </c>
      <c r="J576" s="73" t="s">
        <v>270</v>
      </c>
      <c r="K576" s="4">
        <v>11485824</v>
      </c>
      <c r="L576" s="41">
        <v>91.671000000000006</v>
      </c>
      <c r="M576" s="4">
        <v>10267152</v>
      </c>
      <c r="N576" s="4">
        <v>11200000</v>
      </c>
      <c r="O576" s="4">
        <v>11367971</v>
      </c>
      <c r="P576" s="4">
        <v>0</v>
      </c>
      <c r="Q576" s="4">
        <v>-41835</v>
      </c>
      <c r="R576" s="4">
        <v>0</v>
      </c>
      <c r="S576" s="4">
        <v>0</v>
      </c>
      <c r="T576" s="23">
        <v>2.375</v>
      </c>
      <c r="U576" s="23">
        <v>1.966</v>
      </c>
      <c r="V576" s="5" t="s">
        <v>1916</v>
      </c>
      <c r="W576" s="4">
        <v>113050</v>
      </c>
      <c r="X576" s="4">
        <v>266000</v>
      </c>
      <c r="Y576" s="14">
        <v>43873</v>
      </c>
      <c r="Z576" s="14">
        <v>46415</v>
      </c>
      <c r="AA576" s="2"/>
      <c r="AB576" s="69" t="s">
        <v>3892</v>
      </c>
      <c r="AC576" s="5" t="s">
        <v>4178</v>
      </c>
      <c r="AD576" s="2"/>
      <c r="AE576" s="14">
        <v>46323</v>
      </c>
      <c r="AF576" s="23">
        <v>100</v>
      </c>
      <c r="AG576" s="9">
        <v>46323</v>
      </c>
      <c r="AH576" s="5" t="s">
        <v>601</v>
      </c>
      <c r="AI576" s="5" t="s">
        <v>3507</v>
      </c>
      <c r="AJ576" s="5" t="s">
        <v>824</v>
      </c>
      <c r="AK576" s="21" t="s">
        <v>2</v>
      </c>
      <c r="AL576" s="72" t="s">
        <v>3894</v>
      </c>
      <c r="AM576" s="54" t="s">
        <v>4179</v>
      </c>
      <c r="AN576" s="34" t="s">
        <v>1625</v>
      </c>
    </row>
    <row r="577" spans="2:40" x14ac:dyDescent="0.3">
      <c r="B577" s="18" t="s">
        <v>4338</v>
      </c>
      <c r="C577" s="47" t="s">
        <v>3728</v>
      </c>
      <c r="D577" s="15" t="s">
        <v>2862</v>
      </c>
      <c r="E577" s="68" t="s">
        <v>2</v>
      </c>
      <c r="F577" s="55" t="s">
        <v>2</v>
      </c>
      <c r="G577" s="40" t="s">
        <v>2745</v>
      </c>
      <c r="H577" s="71" t="s">
        <v>3894</v>
      </c>
      <c r="I577" s="67" t="s">
        <v>8</v>
      </c>
      <c r="J577" s="73" t="s">
        <v>270</v>
      </c>
      <c r="K577" s="4">
        <v>3992600</v>
      </c>
      <c r="L577" s="41">
        <v>95.462999999999994</v>
      </c>
      <c r="M577" s="4">
        <v>3818520</v>
      </c>
      <c r="N577" s="4">
        <v>4000000</v>
      </c>
      <c r="O577" s="4">
        <v>3997415</v>
      </c>
      <c r="P577" s="4">
        <v>0</v>
      </c>
      <c r="Q577" s="4">
        <v>1469</v>
      </c>
      <c r="R577" s="4">
        <v>0</v>
      </c>
      <c r="S577" s="4">
        <v>0</v>
      </c>
      <c r="T577" s="23">
        <v>2.35</v>
      </c>
      <c r="U577" s="23">
        <v>2.3889999999999998</v>
      </c>
      <c r="V577" s="5" t="s">
        <v>10</v>
      </c>
      <c r="W577" s="4">
        <v>27678</v>
      </c>
      <c r="X577" s="4">
        <v>94000</v>
      </c>
      <c r="Y577" s="14">
        <v>43696</v>
      </c>
      <c r="Z577" s="14">
        <v>45550</v>
      </c>
      <c r="AA577" s="2"/>
      <c r="AB577" s="69" t="s">
        <v>3892</v>
      </c>
      <c r="AC577" s="5" t="s">
        <v>4178</v>
      </c>
      <c r="AD577" s="2"/>
      <c r="AE577" s="14">
        <v>45519</v>
      </c>
      <c r="AF577" s="23">
        <v>100</v>
      </c>
      <c r="AG577" s="6"/>
      <c r="AH577" s="5" t="s">
        <v>947</v>
      </c>
      <c r="AI577" s="5" t="s">
        <v>2862</v>
      </c>
      <c r="AJ577" s="5" t="s">
        <v>2</v>
      </c>
      <c r="AK577" s="21" t="s">
        <v>2</v>
      </c>
      <c r="AL577" s="72" t="s">
        <v>3894</v>
      </c>
      <c r="AM577" s="54" t="s">
        <v>4179</v>
      </c>
      <c r="AN577" s="34" t="s">
        <v>1189</v>
      </c>
    </row>
    <row r="578" spans="2:40" x14ac:dyDescent="0.3">
      <c r="B578" s="18" t="s">
        <v>948</v>
      </c>
      <c r="C578" s="47" t="s">
        <v>1746</v>
      </c>
      <c r="D578" s="15" t="s">
        <v>1747</v>
      </c>
      <c r="E578" s="68" t="s">
        <v>2</v>
      </c>
      <c r="F578" s="55" t="s">
        <v>2</v>
      </c>
      <c r="G578" s="40" t="s">
        <v>2745</v>
      </c>
      <c r="H578" s="71" t="s">
        <v>3894</v>
      </c>
      <c r="I578" s="67" t="s">
        <v>8</v>
      </c>
      <c r="J578" s="73" t="s">
        <v>270</v>
      </c>
      <c r="K578" s="4">
        <v>4995300</v>
      </c>
      <c r="L578" s="41">
        <v>98.004000000000005</v>
      </c>
      <c r="M578" s="4">
        <v>4900200</v>
      </c>
      <c r="N578" s="4">
        <v>5000000</v>
      </c>
      <c r="O578" s="4">
        <v>4998820</v>
      </c>
      <c r="P578" s="4">
        <v>0</v>
      </c>
      <c r="Q578" s="4">
        <v>934</v>
      </c>
      <c r="R578" s="4">
        <v>0</v>
      </c>
      <c r="S578" s="4">
        <v>0</v>
      </c>
      <c r="T578" s="23">
        <v>3.65</v>
      </c>
      <c r="U578" s="23">
        <v>3.67</v>
      </c>
      <c r="V578" s="5" t="s">
        <v>10</v>
      </c>
      <c r="W578" s="4">
        <v>52215</v>
      </c>
      <c r="X578" s="4">
        <v>182500</v>
      </c>
      <c r="Y578" s="14">
        <v>43521</v>
      </c>
      <c r="Z578" s="14">
        <v>45369</v>
      </c>
      <c r="AA578" s="2"/>
      <c r="AB578" s="69" t="s">
        <v>3892</v>
      </c>
      <c r="AC578" s="5" t="s">
        <v>4178</v>
      </c>
      <c r="AD578" s="2"/>
      <c r="AE578" s="14">
        <v>45340</v>
      </c>
      <c r="AF578" s="23">
        <v>100</v>
      </c>
      <c r="AG578" s="10"/>
      <c r="AH578" s="5" t="s">
        <v>1483</v>
      </c>
      <c r="AI578" s="5" t="s">
        <v>1747</v>
      </c>
      <c r="AJ578" s="5" t="s">
        <v>2</v>
      </c>
      <c r="AK578" s="21" t="s">
        <v>2</v>
      </c>
      <c r="AL578" s="72" t="s">
        <v>3894</v>
      </c>
      <c r="AM578" s="54" t="s">
        <v>4179</v>
      </c>
      <c r="AN578" s="34" t="s">
        <v>1189</v>
      </c>
    </row>
    <row r="579" spans="2:40" x14ac:dyDescent="0.3">
      <c r="B579" s="18" t="s">
        <v>2060</v>
      </c>
      <c r="C579" s="47" t="s">
        <v>4339</v>
      </c>
      <c r="D579" s="15" t="s">
        <v>1747</v>
      </c>
      <c r="E579" s="68" t="s">
        <v>2</v>
      </c>
      <c r="F579" s="55" t="s">
        <v>2</v>
      </c>
      <c r="G579" s="40" t="s">
        <v>2745</v>
      </c>
      <c r="H579" s="71" t="s">
        <v>3894</v>
      </c>
      <c r="I579" s="67" t="s">
        <v>8</v>
      </c>
      <c r="J579" s="73" t="s">
        <v>270</v>
      </c>
      <c r="K579" s="4">
        <v>4995950</v>
      </c>
      <c r="L579" s="41">
        <v>95.257999999999996</v>
      </c>
      <c r="M579" s="4">
        <v>4762900</v>
      </c>
      <c r="N579" s="4">
        <v>5000000</v>
      </c>
      <c r="O579" s="4">
        <v>4998630</v>
      </c>
      <c r="P579" s="4">
        <v>0</v>
      </c>
      <c r="Q579" s="4">
        <v>796</v>
      </c>
      <c r="R579" s="4">
        <v>0</v>
      </c>
      <c r="S579" s="4">
        <v>0</v>
      </c>
      <c r="T579" s="23">
        <v>2.5</v>
      </c>
      <c r="U579" s="23">
        <v>2.5169999999999999</v>
      </c>
      <c r="V579" s="5" t="s">
        <v>10</v>
      </c>
      <c r="W579" s="4">
        <v>41667</v>
      </c>
      <c r="X579" s="4">
        <v>125000</v>
      </c>
      <c r="Y579" s="14">
        <v>43678</v>
      </c>
      <c r="Z579" s="14">
        <v>45536</v>
      </c>
      <c r="AA579" s="2"/>
      <c r="AB579" s="69" t="s">
        <v>3892</v>
      </c>
      <c r="AC579" s="5" t="s">
        <v>4178</v>
      </c>
      <c r="AD579" s="2"/>
      <c r="AE579" s="14">
        <v>45505</v>
      </c>
      <c r="AF579" s="23">
        <v>100</v>
      </c>
      <c r="AG579" s="10"/>
      <c r="AH579" s="5" t="s">
        <v>1483</v>
      </c>
      <c r="AI579" s="5" t="s">
        <v>1747</v>
      </c>
      <c r="AJ579" s="5" t="s">
        <v>2</v>
      </c>
      <c r="AK579" s="21" t="s">
        <v>2</v>
      </c>
      <c r="AL579" s="72" t="s">
        <v>3894</v>
      </c>
      <c r="AM579" s="54" t="s">
        <v>4179</v>
      </c>
      <c r="AN579" s="34" t="s">
        <v>1189</v>
      </c>
    </row>
    <row r="580" spans="2:40" x14ac:dyDescent="0.3">
      <c r="B580" s="18" t="s">
        <v>3201</v>
      </c>
      <c r="C580" s="47" t="s">
        <v>3202</v>
      </c>
      <c r="D580" s="15" t="s">
        <v>1747</v>
      </c>
      <c r="E580" s="68" t="s">
        <v>2</v>
      </c>
      <c r="F580" s="55" t="s">
        <v>2</v>
      </c>
      <c r="G580" s="40" t="s">
        <v>2745</v>
      </c>
      <c r="H580" s="71" t="s">
        <v>3894</v>
      </c>
      <c r="I580" s="67" t="s">
        <v>8</v>
      </c>
      <c r="J580" s="73" t="s">
        <v>270</v>
      </c>
      <c r="K580" s="4">
        <v>8599381</v>
      </c>
      <c r="L580" s="41">
        <v>91.213999999999999</v>
      </c>
      <c r="M580" s="4">
        <v>7570762</v>
      </c>
      <c r="N580" s="4">
        <v>8300000</v>
      </c>
      <c r="O580" s="4">
        <v>8475343</v>
      </c>
      <c r="P580" s="4">
        <v>0</v>
      </c>
      <c r="Q580" s="4">
        <v>-44239</v>
      </c>
      <c r="R580" s="4">
        <v>0</v>
      </c>
      <c r="S580" s="4">
        <v>0</v>
      </c>
      <c r="T580" s="23">
        <v>2.9</v>
      </c>
      <c r="U580" s="23">
        <v>2.3090000000000002</v>
      </c>
      <c r="V580" s="5" t="s">
        <v>3898</v>
      </c>
      <c r="W580" s="4">
        <v>20058</v>
      </c>
      <c r="X580" s="4">
        <v>240700</v>
      </c>
      <c r="Y580" s="14">
        <v>43873</v>
      </c>
      <c r="Z580" s="14">
        <v>46357</v>
      </c>
      <c r="AA580" s="2"/>
      <c r="AB580" s="69" t="s">
        <v>3892</v>
      </c>
      <c r="AC580" s="5" t="s">
        <v>4178</v>
      </c>
      <c r="AD580" s="2"/>
      <c r="AE580" s="14">
        <v>46296</v>
      </c>
      <c r="AF580" s="23">
        <v>100</v>
      </c>
      <c r="AG580" s="14">
        <v>46296</v>
      </c>
      <c r="AH580" s="5" t="s">
        <v>1483</v>
      </c>
      <c r="AI580" s="5" t="s">
        <v>1747</v>
      </c>
      <c r="AJ580" s="5" t="s">
        <v>2</v>
      </c>
      <c r="AK580" s="21" t="s">
        <v>2</v>
      </c>
      <c r="AL580" s="72" t="s">
        <v>3894</v>
      </c>
      <c r="AM580" s="54" t="s">
        <v>4179</v>
      </c>
      <c r="AN580" s="34" t="s">
        <v>1189</v>
      </c>
    </row>
    <row r="581" spans="2:40" x14ac:dyDescent="0.3">
      <c r="B581" s="18" t="s">
        <v>105</v>
      </c>
      <c r="C581" s="47" t="s">
        <v>3729</v>
      </c>
      <c r="D581" s="15" t="s">
        <v>2389</v>
      </c>
      <c r="E581" s="68" t="s">
        <v>2</v>
      </c>
      <c r="F581" s="55" t="s">
        <v>2</v>
      </c>
      <c r="G581" s="40" t="s">
        <v>2745</v>
      </c>
      <c r="H581" s="71" t="s">
        <v>2745</v>
      </c>
      <c r="I581" s="67" t="s">
        <v>1414</v>
      </c>
      <c r="J581" s="73" t="s">
        <v>270</v>
      </c>
      <c r="K581" s="4">
        <v>14831030</v>
      </c>
      <c r="L581" s="41">
        <v>88.146000000000001</v>
      </c>
      <c r="M581" s="4">
        <v>13221900</v>
      </c>
      <c r="N581" s="4">
        <v>15000000</v>
      </c>
      <c r="O581" s="4">
        <v>14848380</v>
      </c>
      <c r="P581" s="4">
        <v>0</v>
      </c>
      <c r="Q581" s="4">
        <v>17350</v>
      </c>
      <c r="R581" s="4">
        <v>0</v>
      </c>
      <c r="S581" s="4">
        <v>0</v>
      </c>
      <c r="T581" s="23">
        <v>2.7</v>
      </c>
      <c r="U581" s="23">
        <v>2.88</v>
      </c>
      <c r="V581" s="5" t="s">
        <v>10</v>
      </c>
      <c r="W581" s="4">
        <v>135000</v>
      </c>
      <c r="X581" s="4">
        <v>183375</v>
      </c>
      <c r="Y581" s="14">
        <v>44628</v>
      </c>
      <c r="Z581" s="14">
        <v>47178</v>
      </c>
      <c r="AA581" s="2"/>
      <c r="AB581" s="69" t="s">
        <v>3892</v>
      </c>
      <c r="AC581" s="5" t="s">
        <v>4178</v>
      </c>
      <c r="AD581" s="2"/>
      <c r="AE581" s="14">
        <v>47119</v>
      </c>
      <c r="AF581" s="23">
        <v>100</v>
      </c>
      <c r="AG581" s="6"/>
      <c r="AH581" s="5" t="s">
        <v>2605</v>
      </c>
      <c r="AI581" s="5" t="s">
        <v>106</v>
      </c>
      <c r="AJ581" s="5" t="s">
        <v>824</v>
      </c>
      <c r="AK581" s="21" t="s">
        <v>2</v>
      </c>
      <c r="AL581" s="72" t="s">
        <v>3894</v>
      </c>
      <c r="AM581" s="54" t="s">
        <v>4179</v>
      </c>
      <c r="AN581" s="34" t="s">
        <v>512</v>
      </c>
    </row>
    <row r="582" spans="2:40" x14ac:dyDescent="0.3">
      <c r="B582" s="18" t="s">
        <v>1262</v>
      </c>
      <c r="C582" s="47" t="s">
        <v>2863</v>
      </c>
      <c r="D582" s="15" t="s">
        <v>1263</v>
      </c>
      <c r="E582" s="68" t="s">
        <v>2</v>
      </c>
      <c r="F582" s="55" t="s">
        <v>2</v>
      </c>
      <c r="G582" s="40" t="s">
        <v>2</v>
      </c>
      <c r="H582" s="71" t="s">
        <v>2745</v>
      </c>
      <c r="I582" s="67" t="s">
        <v>3408</v>
      </c>
      <c r="J582" s="73" t="s">
        <v>270</v>
      </c>
      <c r="K582" s="4">
        <v>10395843</v>
      </c>
      <c r="L582" s="41">
        <v>83.204999999999998</v>
      </c>
      <c r="M582" s="4">
        <v>8649913</v>
      </c>
      <c r="N582" s="4">
        <v>10395905</v>
      </c>
      <c r="O582" s="4">
        <v>10395871</v>
      </c>
      <c r="P582" s="4">
        <v>0</v>
      </c>
      <c r="Q582" s="4">
        <v>-34</v>
      </c>
      <c r="R582" s="4">
        <v>0</v>
      </c>
      <c r="S582" s="4">
        <v>0</v>
      </c>
      <c r="T582" s="23">
        <v>0.86099999999999999</v>
      </c>
      <c r="U582" s="23">
        <v>0.86099999999999999</v>
      </c>
      <c r="V582" s="5" t="s">
        <v>3409</v>
      </c>
      <c r="W582" s="4">
        <v>11437</v>
      </c>
      <c r="X582" s="4">
        <v>89509</v>
      </c>
      <c r="Y582" s="14">
        <v>44244</v>
      </c>
      <c r="Z582" s="14">
        <v>48167</v>
      </c>
      <c r="AA582" s="2"/>
      <c r="AB582" s="69" t="s">
        <v>3892</v>
      </c>
      <c r="AC582" s="5" t="s">
        <v>7</v>
      </c>
      <c r="AD582" s="2"/>
      <c r="AE582" s="10"/>
      <c r="AF582" s="23"/>
      <c r="AG582" s="10"/>
      <c r="AH582" s="5" t="s">
        <v>2</v>
      </c>
      <c r="AI582" s="5" t="s">
        <v>1263</v>
      </c>
      <c r="AJ582" s="5" t="s">
        <v>2</v>
      </c>
      <c r="AK582" s="21" t="s">
        <v>2</v>
      </c>
      <c r="AL582" s="72" t="s">
        <v>2745</v>
      </c>
      <c r="AM582" s="54" t="s">
        <v>4179</v>
      </c>
      <c r="AN582" s="34" t="s">
        <v>2278</v>
      </c>
    </row>
    <row r="583" spans="2:40" x14ac:dyDescent="0.3">
      <c r="B583" s="18" t="s">
        <v>2390</v>
      </c>
      <c r="C583" s="47" t="s">
        <v>2061</v>
      </c>
      <c r="D583" s="15" t="s">
        <v>3203</v>
      </c>
      <c r="E583" s="68" t="s">
        <v>2</v>
      </c>
      <c r="F583" s="55" t="s">
        <v>2</v>
      </c>
      <c r="G583" s="40" t="s">
        <v>2745</v>
      </c>
      <c r="H583" s="71" t="s">
        <v>3894</v>
      </c>
      <c r="I583" s="67" t="s">
        <v>8</v>
      </c>
      <c r="J583" s="73" t="s">
        <v>270</v>
      </c>
      <c r="K583" s="4">
        <v>10706000</v>
      </c>
      <c r="L583" s="41">
        <v>94.123999999999995</v>
      </c>
      <c r="M583" s="4">
        <v>9412400</v>
      </c>
      <c r="N583" s="4">
        <v>10000000</v>
      </c>
      <c r="O583" s="4">
        <v>10474546</v>
      </c>
      <c r="P583" s="4">
        <v>0</v>
      </c>
      <c r="Q583" s="4">
        <v>-92297</v>
      </c>
      <c r="R583" s="4">
        <v>0</v>
      </c>
      <c r="S583" s="4">
        <v>0</v>
      </c>
      <c r="T583" s="23">
        <v>4.2</v>
      </c>
      <c r="U583" s="23">
        <v>3.1080000000000001</v>
      </c>
      <c r="V583" s="5" t="s">
        <v>10</v>
      </c>
      <c r="W583" s="4">
        <v>123667</v>
      </c>
      <c r="X583" s="4">
        <v>420000</v>
      </c>
      <c r="Y583" s="14">
        <v>43985</v>
      </c>
      <c r="Z583" s="14">
        <v>46827</v>
      </c>
      <c r="AA583" s="2"/>
      <c r="AB583" s="69" t="s">
        <v>3892</v>
      </c>
      <c r="AC583" s="5" t="s">
        <v>4178</v>
      </c>
      <c r="AD583" s="2"/>
      <c r="AE583" s="14">
        <v>46645</v>
      </c>
      <c r="AF583" s="23">
        <v>100</v>
      </c>
      <c r="AG583" s="14">
        <v>46645</v>
      </c>
      <c r="AH583" s="5" t="s">
        <v>1264</v>
      </c>
      <c r="AI583" s="5" t="s">
        <v>3203</v>
      </c>
      <c r="AJ583" s="5" t="s">
        <v>2</v>
      </c>
      <c r="AK583" s="21" t="s">
        <v>2</v>
      </c>
      <c r="AL583" s="72" t="s">
        <v>2745</v>
      </c>
      <c r="AM583" s="54" t="s">
        <v>4179</v>
      </c>
      <c r="AN583" s="34" t="s">
        <v>1189</v>
      </c>
    </row>
    <row r="584" spans="2:40" x14ac:dyDescent="0.3">
      <c r="B584" s="18" t="s">
        <v>3508</v>
      </c>
      <c r="C584" s="47" t="s">
        <v>3993</v>
      </c>
      <c r="D584" s="15" t="s">
        <v>3509</v>
      </c>
      <c r="E584" s="68" t="s">
        <v>2</v>
      </c>
      <c r="F584" s="55" t="s">
        <v>2</v>
      </c>
      <c r="G584" s="40" t="s">
        <v>2745</v>
      </c>
      <c r="H584" s="71" t="s">
        <v>3894</v>
      </c>
      <c r="I584" s="67" t="s">
        <v>3408</v>
      </c>
      <c r="J584" s="73" t="s">
        <v>270</v>
      </c>
      <c r="K584" s="4">
        <v>5099600</v>
      </c>
      <c r="L584" s="41">
        <v>92.864000000000004</v>
      </c>
      <c r="M584" s="4">
        <v>4643200</v>
      </c>
      <c r="N584" s="4">
        <v>5000000</v>
      </c>
      <c r="O584" s="4">
        <v>5060441</v>
      </c>
      <c r="P584" s="4">
        <v>0</v>
      </c>
      <c r="Q584" s="4">
        <v>-15718</v>
      </c>
      <c r="R584" s="4">
        <v>0</v>
      </c>
      <c r="S584" s="4">
        <v>0</v>
      </c>
      <c r="T584" s="23">
        <v>3.2440000000000002</v>
      </c>
      <c r="U584" s="23">
        <v>2.8879999999999999</v>
      </c>
      <c r="V584" s="5" t="s">
        <v>3895</v>
      </c>
      <c r="W584" s="4">
        <v>38748</v>
      </c>
      <c r="X584" s="4">
        <v>162200</v>
      </c>
      <c r="Y584" s="14">
        <v>43985</v>
      </c>
      <c r="Z584" s="14">
        <v>46300</v>
      </c>
      <c r="AA584" s="2"/>
      <c r="AB584" s="69" t="s">
        <v>3892</v>
      </c>
      <c r="AC584" s="5" t="s">
        <v>4178</v>
      </c>
      <c r="AD584" s="2"/>
      <c r="AE584" s="9">
        <v>46239</v>
      </c>
      <c r="AF584" s="23">
        <v>100</v>
      </c>
      <c r="AG584" s="9">
        <v>46239</v>
      </c>
      <c r="AH584" s="5" t="s">
        <v>2</v>
      </c>
      <c r="AI584" s="5" t="s">
        <v>3509</v>
      </c>
      <c r="AJ584" s="5" t="s">
        <v>2</v>
      </c>
      <c r="AK584" s="21" t="s">
        <v>2</v>
      </c>
      <c r="AL584" s="72" t="s">
        <v>3894</v>
      </c>
      <c r="AM584" s="54" t="s">
        <v>4179</v>
      </c>
      <c r="AN584" s="34" t="s">
        <v>1650</v>
      </c>
    </row>
    <row r="585" spans="2:40" x14ac:dyDescent="0.3">
      <c r="B585" s="18" t="s">
        <v>107</v>
      </c>
      <c r="C585" s="47" t="s">
        <v>1265</v>
      </c>
      <c r="D585" s="15" t="s">
        <v>3509</v>
      </c>
      <c r="E585" s="68" t="s">
        <v>2</v>
      </c>
      <c r="F585" s="55" t="s">
        <v>2</v>
      </c>
      <c r="G585" s="40" t="s">
        <v>2745</v>
      </c>
      <c r="H585" s="71" t="s">
        <v>3894</v>
      </c>
      <c r="I585" s="67" t="s">
        <v>3408</v>
      </c>
      <c r="J585" s="73" t="s">
        <v>270</v>
      </c>
      <c r="K585" s="4">
        <v>5000000</v>
      </c>
      <c r="L585" s="41">
        <v>86.27</v>
      </c>
      <c r="M585" s="4">
        <v>4313500</v>
      </c>
      <c r="N585" s="4">
        <v>5000000</v>
      </c>
      <c r="O585" s="4">
        <v>4999838</v>
      </c>
      <c r="P585" s="4">
        <v>0</v>
      </c>
      <c r="Q585" s="4">
        <v>-162</v>
      </c>
      <c r="R585" s="4">
        <v>0</v>
      </c>
      <c r="S585" s="4">
        <v>0</v>
      </c>
      <c r="T585" s="23">
        <v>2.4900000000000002</v>
      </c>
      <c r="U585" s="23">
        <v>2.4870000000000001</v>
      </c>
      <c r="V585" s="5" t="s">
        <v>1916</v>
      </c>
      <c r="W585" s="4">
        <v>60521</v>
      </c>
      <c r="X585" s="4">
        <v>62250</v>
      </c>
      <c r="Y585" s="14">
        <v>44564</v>
      </c>
      <c r="Z585" s="14">
        <v>46758</v>
      </c>
      <c r="AA585" s="2"/>
      <c r="AB585" s="69" t="s">
        <v>3892</v>
      </c>
      <c r="AC585" s="5" t="s">
        <v>4178</v>
      </c>
      <c r="AD585" s="2"/>
      <c r="AE585" s="9">
        <v>46393</v>
      </c>
      <c r="AF585" s="23">
        <v>100</v>
      </c>
      <c r="AG585" s="6"/>
      <c r="AH585" s="5" t="s">
        <v>2</v>
      </c>
      <c r="AI585" s="5" t="s">
        <v>3509</v>
      </c>
      <c r="AJ585" s="5" t="s">
        <v>2</v>
      </c>
      <c r="AK585" s="21" t="s">
        <v>2</v>
      </c>
      <c r="AL585" s="72" t="s">
        <v>3894</v>
      </c>
      <c r="AM585" s="54" t="s">
        <v>4179</v>
      </c>
      <c r="AN585" s="34" t="s">
        <v>1650</v>
      </c>
    </row>
    <row r="586" spans="2:40" x14ac:dyDescent="0.3">
      <c r="B586" s="18" t="s">
        <v>2062</v>
      </c>
      <c r="C586" s="47" t="s">
        <v>3510</v>
      </c>
      <c r="D586" s="15" t="s">
        <v>1748</v>
      </c>
      <c r="E586" s="68" t="s">
        <v>2</v>
      </c>
      <c r="F586" s="55" t="s">
        <v>2</v>
      </c>
      <c r="G586" s="40" t="s">
        <v>2745</v>
      </c>
      <c r="H586" s="71" t="s">
        <v>2745</v>
      </c>
      <c r="I586" s="67" t="s">
        <v>3660</v>
      </c>
      <c r="J586" s="73" t="s">
        <v>270</v>
      </c>
      <c r="K586" s="4">
        <v>480253</v>
      </c>
      <c r="L586" s="41">
        <v>114.864</v>
      </c>
      <c r="M586" s="4">
        <v>482429</v>
      </c>
      <c r="N586" s="4">
        <v>420000</v>
      </c>
      <c r="O586" s="4">
        <v>467496</v>
      </c>
      <c r="P586" s="4">
        <v>0</v>
      </c>
      <c r="Q586" s="4">
        <v>-2068</v>
      </c>
      <c r="R586" s="4">
        <v>0</v>
      </c>
      <c r="S586" s="4">
        <v>0</v>
      </c>
      <c r="T586" s="23">
        <v>6.55</v>
      </c>
      <c r="U586" s="23">
        <v>5.4240000000000004</v>
      </c>
      <c r="V586" s="5" t="s">
        <v>10</v>
      </c>
      <c r="W586" s="4">
        <v>8100</v>
      </c>
      <c r="X586" s="4">
        <v>27510</v>
      </c>
      <c r="Y586" s="14">
        <v>42277</v>
      </c>
      <c r="Z586" s="14">
        <v>50298</v>
      </c>
      <c r="AA586" s="2"/>
      <c r="AB586" s="69" t="s">
        <v>3892</v>
      </c>
      <c r="AC586" s="5" t="s">
        <v>4178</v>
      </c>
      <c r="AD586" s="2"/>
      <c r="AE586" s="10"/>
      <c r="AF586" s="23"/>
      <c r="AG586" s="6"/>
      <c r="AH586" s="5" t="s">
        <v>1484</v>
      </c>
      <c r="AI586" s="5" t="s">
        <v>1748</v>
      </c>
      <c r="AJ586" s="5" t="s">
        <v>2</v>
      </c>
      <c r="AK586" s="21" t="s">
        <v>2</v>
      </c>
      <c r="AL586" s="72" t="s">
        <v>3894</v>
      </c>
      <c r="AM586" s="54" t="s">
        <v>4179</v>
      </c>
      <c r="AN586" s="34" t="s">
        <v>1170</v>
      </c>
    </row>
    <row r="587" spans="2:40" x14ac:dyDescent="0.3">
      <c r="B587" s="18" t="s">
        <v>3204</v>
      </c>
      <c r="C587" s="47" t="s">
        <v>3511</v>
      </c>
      <c r="D587" s="15" t="s">
        <v>602</v>
      </c>
      <c r="E587" s="68" t="s">
        <v>2</v>
      </c>
      <c r="F587" s="55" t="s">
        <v>2</v>
      </c>
      <c r="G587" s="40" t="s">
        <v>2745</v>
      </c>
      <c r="H587" s="71" t="s">
        <v>2745</v>
      </c>
      <c r="I587" s="67" t="s">
        <v>287</v>
      </c>
      <c r="J587" s="73" t="s">
        <v>270</v>
      </c>
      <c r="K587" s="4">
        <v>4996650</v>
      </c>
      <c r="L587" s="41">
        <v>97.727000000000004</v>
      </c>
      <c r="M587" s="4">
        <v>4886350</v>
      </c>
      <c r="N587" s="4">
        <v>5000000</v>
      </c>
      <c r="O587" s="4">
        <v>4998753</v>
      </c>
      <c r="P587" s="4">
        <v>0</v>
      </c>
      <c r="Q587" s="4">
        <v>489</v>
      </c>
      <c r="R587" s="4">
        <v>0</v>
      </c>
      <c r="S587" s="4">
        <v>0</v>
      </c>
      <c r="T587" s="23">
        <v>3.85</v>
      </c>
      <c r="U587" s="23">
        <v>3.8610000000000002</v>
      </c>
      <c r="V587" s="5" t="s">
        <v>3409</v>
      </c>
      <c r="W587" s="4">
        <v>21389</v>
      </c>
      <c r="X587" s="4">
        <v>192500</v>
      </c>
      <c r="Y587" s="14">
        <v>43237</v>
      </c>
      <c r="Z587" s="14">
        <v>45798</v>
      </c>
      <c r="AA587" s="2"/>
      <c r="AB587" s="69" t="s">
        <v>3892</v>
      </c>
      <c r="AC587" s="5" t="s">
        <v>4178</v>
      </c>
      <c r="AD587" s="2"/>
      <c r="AE587" s="14">
        <v>45737</v>
      </c>
      <c r="AF587" s="23">
        <v>100</v>
      </c>
      <c r="AG587" s="6"/>
      <c r="AH587" s="5" t="s">
        <v>2</v>
      </c>
      <c r="AI587" s="5" t="s">
        <v>3512</v>
      </c>
      <c r="AJ587" s="5" t="s">
        <v>2606</v>
      </c>
      <c r="AK587" s="21" t="s">
        <v>2</v>
      </c>
      <c r="AL587" s="72" t="s">
        <v>3894</v>
      </c>
      <c r="AM587" s="54" t="s">
        <v>4179</v>
      </c>
      <c r="AN587" s="34" t="s">
        <v>819</v>
      </c>
    </row>
    <row r="588" spans="2:40" x14ac:dyDescent="0.3">
      <c r="B588" s="18" t="s">
        <v>4340</v>
      </c>
      <c r="C588" s="47" t="s">
        <v>3513</v>
      </c>
      <c r="D588" s="15" t="s">
        <v>602</v>
      </c>
      <c r="E588" s="68" t="s">
        <v>2</v>
      </c>
      <c r="F588" s="55" t="s">
        <v>2</v>
      </c>
      <c r="G588" s="40" t="s">
        <v>2745</v>
      </c>
      <c r="H588" s="71" t="s">
        <v>2745</v>
      </c>
      <c r="I588" s="67" t="s">
        <v>287</v>
      </c>
      <c r="J588" s="73" t="s">
        <v>270</v>
      </c>
      <c r="K588" s="4">
        <v>14979150</v>
      </c>
      <c r="L588" s="41">
        <v>98.584000000000003</v>
      </c>
      <c r="M588" s="4">
        <v>14787600</v>
      </c>
      <c r="N588" s="4">
        <v>15000000</v>
      </c>
      <c r="O588" s="4">
        <v>14995247</v>
      </c>
      <c r="P588" s="4">
        <v>0</v>
      </c>
      <c r="Q588" s="4">
        <v>4229</v>
      </c>
      <c r="R588" s="4">
        <v>0</v>
      </c>
      <c r="S588" s="4">
        <v>0</v>
      </c>
      <c r="T588" s="23">
        <v>3.55</v>
      </c>
      <c r="U588" s="23">
        <v>3.58</v>
      </c>
      <c r="V588" s="5" t="s">
        <v>268</v>
      </c>
      <c r="W588" s="4">
        <v>221875</v>
      </c>
      <c r="X588" s="4">
        <v>532500</v>
      </c>
      <c r="Y588" s="14">
        <v>43402</v>
      </c>
      <c r="Z588" s="14">
        <v>45323</v>
      </c>
      <c r="AA588" s="2"/>
      <c r="AB588" s="69" t="s">
        <v>3892</v>
      </c>
      <c r="AC588" s="5" t="s">
        <v>4178</v>
      </c>
      <c r="AD588" s="2"/>
      <c r="AE588" s="9">
        <v>45292</v>
      </c>
      <c r="AF588" s="23">
        <v>100</v>
      </c>
      <c r="AG588" s="6"/>
      <c r="AH588" s="5" t="s">
        <v>2</v>
      </c>
      <c r="AI588" s="5" t="s">
        <v>3512</v>
      </c>
      <c r="AJ588" s="5" t="s">
        <v>2606</v>
      </c>
      <c r="AK588" s="21" t="s">
        <v>2</v>
      </c>
      <c r="AL588" s="72" t="s">
        <v>3894</v>
      </c>
      <c r="AM588" s="54" t="s">
        <v>4179</v>
      </c>
      <c r="AN588" s="34" t="s">
        <v>819</v>
      </c>
    </row>
    <row r="589" spans="2:40" x14ac:dyDescent="0.3">
      <c r="B589" s="18" t="s">
        <v>1266</v>
      </c>
      <c r="C589" s="47" t="s">
        <v>3994</v>
      </c>
      <c r="D589" s="15" t="s">
        <v>602</v>
      </c>
      <c r="E589" s="68" t="s">
        <v>2</v>
      </c>
      <c r="F589" s="55" t="s">
        <v>2</v>
      </c>
      <c r="G589" s="40" t="s">
        <v>2745</v>
      </c>
      <c r="H589" s="71" t="s">
        <v>2745</v>
      </c>
      <c r="I589" s="67" t="s">
        <v>287</v>
      </c>
      <c r="J589" s="73" t="s">
        <v>270</v>
      </c>
      <c r="K589" s="4">
        <v>4497570</v>
      </c>
      <c r="L589" s="41">
        <v>99.007000000000005</v>
      </c>
      <c r="M589" s="4">
        <v>4455315</v>
      </c>
      <c r="N589" s="4">
        <v>4500000</v>
      </c>
      <c r="O589" s="4">
        <v>4498854</v>
      </c>
      <c r="P589" s="4">
        <v>0</v>
      </c>
      <c r="Q589" s="4">
        <v>481</v>
      </c>
      <c r="R589" s="4">
        <v>0</v>
      </c>
      <c r="S589" s="4">
        <v>0</v>
      </c>
      <c r="T589" s="23">
        <v>4.2</v>
      </c>
      <c r="U589" s="23">
        <v>4.2119999999999997</v>
      </c>
      <c r="V589" s="5" t="s">
        <v>10</v>
      </c>
      <c r="W589" s="4">
        <v>50925</v>
      </c>
      <c r="X589" s="4">
        <v>189000</v>
      </c>
      <c r="Y589" s="14">
        <v>43910</v>
      </c>
      <c r="Z589" s="14">
        <v>45740</v>
      </c>
      <c r="AA589" s="2"/>
      <c r="AB589" s="69" t="s">
        <v>3892</v>
      </c>
      <c r="AC589" s="5" t="s">
        <v>4178</v>
      </c>
      <c r="AD589" s="2"/>
      <c r="AE589" s="14">
        <v>45712</v>
      </c>
      <c r="AF589" s="23">
        <v>100</v>
      </c>
      <c r="AG589" s="6"/>
      <c r="AH589" s="5" t="s">
        <v>2</v>
      </c>
      <c r="AI589" s="5" t="s">
        <v>3512</v>
      </c>
      <c r="AJ589" s="5" t="s">
        <v>2606</v>
      </c>
      <c r="AK589" s="21" t="s">
        <v>2</v>
      </c>
      <c r="AL589" s="72" t="s">
        <v>3894</v>
      </c>
      <c r="AM589" s="54" t="s">
        <v>4179</v>
      </c>
      <c r="AN589" s="34" t="s">
        <v>819</v>
      </c>
    </row>
    <row r="590" spans="2:40" x14ac:dyDescent="0.3">
      <c r="B590" s="18" t="s">
        <v>2391</v>
      </c>
      <c r="C590" s="47" t="s">
        <v>2392</v>
      </c>
      <c r="D590" s="15" t="s">
        <v>3512</v>
      </c>
      <c r="E590" s="68" t="s">
        <v>2</v>
      </c>
      <c r="F590" s="55" t="s">
        <v>2</v>
      </c>
      <c r="G590" s="40" t="s">
        <v>2745</v>
      </c>
      <c r="H590" s="71" t="s">
        <v>2745</v>
      </c>
      <c r="I590" s="67" t="s">
        <v>287</v>
      </c>
      <c r="J590" s="73" t="s">
        <v>270</v>
      </c>
      <c r="K590" s="4">
        <v>13985801</v>
      </c>
      <c r="L590" s="41">
        <v>98.486999999999995</v>
      </c>
      <c r="M590" s="4">
        <v>13788180</v>
      </c>
      <c r="N590" s="4">
        <v>14000000</v>
      </c>
      <c r="O590" s="4">
        <v>13992841</v>
      </c>
      <c r="P590" s="4">
        <v>0</v>
      </c>
      <c r="Q590" s="4">
        <v>5495</v>
      </c>
      <c r="R590" s="4">
        <v>0</v>
      </c>
      <c r="S590" s="4">
        <v>0</v>
      </c>
      <c r="T590" s="23">
        <v>3.75</v>
      </c>
      <c r="U590" s="23">
        <v>3.7919999999999998</v>
      </c>
      <c r="V590" s="5" t="s">
        <v>3895</v>
      </c>
      <c r="W590" s="4">
        <v>131250</v>
      </c>
      <c r="X590" s="4">
        <v>525000</v>
      </c>
      <c r="Y590" s="14">
        <v>44463</v>
      </c>
      <c r="Z590" s="14">
        <v>45383</v>
      </c>
      <c r="AA590" s="2"/>
      <c r="AB590" s="69" t="s">
        <v>3892</v>
      </c>
      <c r="AC590" s="5" t="s">
        <v>4178</v>
      </c>
      <c r="AD590" s="2"/>
      <c r="AE590" s="9">
        <v>45353</v>
      </c>
      <c r="AF590" s="23">
        <v>100</v>
      </c>
      <c r="AG590" s="6"/>
      <c r="AH590" s="5" t="s">
        <v>2</v>
      </c>
      <c r="AI590" s="5" t="s">
        <v>3512</v>
      </c>
      <c r="AJ590" s="5" t="s">
        <v>2</v>
      </c>
      <c r="AK590" s="21" t="s">
        <v>2</v>
      </c>
      <c r="AL590" s="72" t="s">
        <v>3894</v>
      </c>
      <c r="AM590" s="54" t="s">
        <v>4179</v>
      </c>
      <c r="AN590" s="34" t="s">
        <v>819</v>
      </c>
    </row>
    <row r="591" spans="2:40" x14ac:dyDescent="0.3">
      <c r="B591" s="18" t="s">
        <v>3514</v>
      </c>
      <c r="C591" s="47" t="s">
        <v>3205</v>
      </c>
      <c r="D591" s="15" t="s">
        <v>1485</v>
      </c>
      <c r="E591" s="68" t="s">
        <v>2</v>
      </c>
      <c r="F591" s="55" t="s">
        <v>2</v>
      </c>
      <c r="G591" s="40" t="s">
        <v>2745</v>
      </c>
      <c r="H591" s="71" t="s">
        <v>825</v>
      </c>
      <c r="I591" s="67" t="s">
        <v>1164</v>
      </c>
      <c r="J591" s="73" t="s">
        <v>270</v>
      </c>
      <c r="K591" s="4">
        <v>2000000</v>
      </c>
      <c r="L591" s="41">
        <v>84.826999999999998</v>
      </c>
      <c r="M591" s="4">
        <v>1696540</v>
      </c>
      <c r="N591" s="4">
        <v>2000000</v>
      </c>
      <c r="O591" s="4">
        <v>1696540</v>
      </c>
      <c r="P591" s="4">
        <v>-303460</v>
      </c>
      <c r="Q591" s="4">
        <v>0</v>
      </c>
      <c r="R591" s="4">
        <v>0</v>
      </c>
      <c r="S591" s="4">
        <v>0</v>
      </c>
      <c r="T591" s="23">
        <v>4</v>
      </c>
      <c r="U591" s="23">
        <v>4</v>
      </c>
      <c r="V591" s="5" t="s">
        <v>3409</v>
      </c>
      <c r="W591" s="4">
        <v>10222</v>
      </c>
      <c r="X591" s="4">
        <v>80000</v>
      </c>
      <c r="Y591" s="14">
        <v>44328</v>
      </c>
      <c r="Z591" s="14">
        <v>47983</v>
      </c>
      <c r="AA591" s="2"/>
      <c r="AB591" s="69" t="s">
        <v>3892</v>
      </c>
      <c r="AC591" s="5" t="s">
        <v>4178</v>
      </c>
      <c r="AD591" s="2"/>
      <c r="AE591" s="14">
        <v>46157</v>
      </c>
      <c r="AF591" s="23">
        <v>102</v>
      </c>
      <c r="AG591" s="10"/>
      <c r="AH591" s="5" t="s">
        <v>108</v>
      </c>
      <c r="AI591" s="5" t="s">
        <v>1485</v>
      </c>
      <c r="AJ591" s="5" t="s">
        <v>2</v>
      </c>
      <c r="AK591" s="21" t="s">
        <v>2</v>
      </c>
      <c r="AL591" s="72" t="s">
        <v>3894</v>
      </c>
      <c r="AM591" s="54" t="s">
        <v>4179</v>
      </c>
      <c r="AN591" s="34" t="s">
        <v>302</v>
      </c>
    </row>
    <row r="592" spans="2:40" x14ac:dyDescent="0.3">
      <c r="B592" s="18" t="s">
        <v>109</v>
      </c>
      <c r="C592" s="47" t="s">
        <v>3995</v>
      </c>
      <c r="D592" s="15" t="s">
        <v>3730</v>
      </c>
      <c r="E592" s="68" t="s">
        <v>2</v>
      </c>
      <c r="F592" s="55" t="s">
        <v>2</v>
      </c>
      <c r="G592" s="40" t="s">
        <v>2745</v>
      </c>
      <c r="H592" s="71" t="s">
        <v>3894</v>
      </c>
      <c r="I592" s="67" t="s">
        <v>8</v>
      </c>
      <c r="J592" s="73" t="s">
        <v>270</v>
      </c>
      <c r="K592" s="4">
        <v>19840950</v>
      </c>
      <c r="L592" s="41">
        <v>83.210999999999999</v>
      </c>
      <c r="M592" s="4">
        <v>16642200</v>
      </c>
      <c r="N592" s="4">
        <v>20000000</v>
      </c>
      <c r="O592" s="4">
        <v>19881997</v>
      </c>
      <c r="P592" s="4">
        <v>0</v>
      </c>
      <c r="Q592" s="4">
        <v>22093</v>
      </c>
      <c r="R592" s="4">
        <v>0</v>
      </c>
      <c r="S592" s="4">
        <v>0</v>
      </c>
      <c r="T592" s="23">
        <v>1.3</v>
      </c>
      <c r="U592" s="23">
        <v>1.42</v>
      </c>
      <c r="V592" s="5" t="s">
        <v>268</v>
      </c>
      <c r="W592" s="4">
        <v>101833</v>
      </c>
      <c r="X592" s="4">
        <v>260000</v>
      </c>
      <c r="Y592" s="14">
        <v>44249</v>
      </c>
      <c r="Z592" s="14">
        <v>46793</v>
      </c>
      <c r="AA592" s="2"/>
      <c r="AB592" s="69" t="s">
        <v>3892</v>
      </c>
      <c r="AC592" s="5" t="s">
        <v>4178</v>
      </c>
      <c r="AD592" s="2"/>
      <c r="AE592" s="14">
        <v>46731</v>
      </c>
      <c r="AF592" s="23">
        <v>100</v>
      </c>
      <c r="AG592" s="6"/>
      <c r="AH592" s="5" t="s">
        <v>949</v>
      </c>
      <c r="AI592" s="5" t="s">
        <v>361</v>
      </c>
      <c r="AJ592" s="5" t="s">
        <v>824</v>
      </c>
      <c r="AK592" s="21" t="s">
        <v>2</v>
      </c>
      <c r="AL592" s="72" t="s">
        <v>3894</v>
      </c>
      <c r="AM592" s="54" t="s">
        <v>4179</v>
      </c>
      <c r="AN592" s="34" t="s">
        <v>1189</v>
      </c>
    </row>
    <row r="593" spans="2:40" x14ac:dyDescent="0.3">
      <c r="B593" s="18" t="s">
        <v>1267</v>
      </c>
      <c r="C593" s="47" t="s">
        <v>2063</v>
      </c>
      <c r="D593" s="15" t="s">
        <v>1486</v>
      </c>
      <c r="E593" s="68" t="s">
        <v>2</v>
      </c>
      <c r="F593" s="55" t="s">
        <v>2</v>
      </c>
      <c r="G593" s="40" t="s">
        <v>2745</v>
      </c>
      <c r="H593" s="71" t="s">
        <v>825</v>
      </c>
      <c r="I593" s="67" t="s">
        <v>1164</v>
      </c>
      <c r="J593" s="73" t="s">
        <v>270</v>
      </c>
      <c r="K593" s="4">
        <v>4241250</v>
      </c>
      <c r="L593" s="41">
        <v>79.013999999999996</v>
      </c>
      <c r="M593" s="4">
        <v>3358095</v>
      </c>
      <c r="N593" s="4">
        <v>4250000</v>
      </c>
      <c r="O593" s="4">
        <v>3358095</v>
      </c>
      <c r="P593" s="4">
        <v>-819285</v>
      </c>
      <c r="Q593" s="4">
        <v>735</v>
      </c>
      <c r="R593" s="4">
        <v>0</v>
      </c>
      <c r="S593" s="4">
        <v>0</v>
      </c>
      <c r="T593" s="23">
        <v>3.875</v>
      </c>
      <c r="U593" s="23">
        <v>3.899</v>
      </c>
      <c r="V593" s="5" t="s">
        <v>10</v>
      </c>
      <c r="W593" s="4">
        <v>54896</v>
      </c>
      <c r="X593" s="4">
        <v>171549</v>
      </c>
      <c r="Y593" s="14">
        <v>44411</v>
      </c>
      <c r="Z593" s="14">
        <v>48092</v>
      </c>
      <c r="AA593" s="2"/>
      <c r="AB593" s="69" t="s">
        <v>3892</v>
      </c>
      <c r="AC593" s="5" t="s">
        <v>4178</v>
      </c>
      <c r="AD593" s="2"/>
      <c r="AE593" s="9">
        <v>46266</v>
      </c>
      <c r="AF593" s="23">
        <v>101.938</v>
      </c>
      <c r="AG593" s="6"/>
      <c r="AH593" s="5" t="s">
        <v>3731</v>
      </c>
      <c r="AI593" s="5" t="s">
        <v>3996</v>
      </c>
      <c r="AJ593" s="5" t="s">
        <v>824</v>
      </c>
      <c r="AK593" s="21" t="s">
        <v>2</v>
      </c>
      <c r="AL593" s="72" t="s">
        <v>3894</v>
      </c>
      <c r="AM593" s="54" t="s">
        <v>4179</v>
      </c>
      <c r="AN593" s="34" t="s">
        <v>302</v>
      </c>
    </row>
    <row r="594" spans="2:40" x14ac:dyDescent="0.3">
      <c r="B594" s="18" t="s">
        <v>2393</v>
      </c>
      <c r="C594" s="47" t="s">
        <v>950</v>
      </c>
      <c r="D594" s="15" t="s">
        <v>3997</v>
      </c>
      <c r="E594" s="68" t="s">
        <v>2</v>
      </c>
      <c r="F594" s="55" t="s">
        <v>2</v>
      </c>
      <c r="G594" s="40" t="s">
        <v>2745</v>
      </c>
      <c r="H594" s="71" t="s">
        <v>3894</v>
      </c>
      <c r="I594" s="67" t="s">
        <v>1164</v>
      </c>
      <c r="J594" s="73" t="s">
        <v>270</v>
      </c>
      <c r="K594" s="4">
        <v>1973620</v>
      </c>
      <c r="L594" s="41">
        <v>71.798000000000002</v>
      </c>
      <c r="M594" s="4">
        <v>1435960</v>
      </c>
      <c r="N594" s="4">
        <v>2000000</v>
      </c>
      <c r="O594" s="4">
        <v>1976654</v>
      </c>
      <c r="P594" s="4">
        <v>0</v>
      </c>
      <c r="Q594" s="4">
        <v>2342</v>
      </c>
      <c r="R594" s="4">
        <v>0</v>
      </c>
      <c r="S594" s="4">
        <v>0</v>
      </c>
      <c r="T594" s="23">
        <v>2.625</v>
      </c>
      <c r="U594" s="23">
        <v>2.7770000000000001</v>
      </c>
      <c r="V594" s="5" t="s">
        <v>10</v>
      </c>
      <c r="W594" s="4">
        <v>15750</v>
      </c>
      <c r="X594" s="4">
        <v>52500</v>
      </c>
      <c r="Y594" s="14">
        <v>44447</v>
      </c>
      <c r="Z594" s="14">
        <v>48104</v>
      </c>
      <c r="AA594" s="2"/>
      <c r="AB594" s="69" t="s">
        <v>3892</v>
      </c>
      <c r="AC594" s="5" t="s">
        <v>4178</v>
      </c>
      <c r="AD594" s="2"/>
      <c r="AE594" s="14">
        <v>48012</v>
      </c>
      <c r="AF594" s="23">
        <v>100</v>
      </c>
      <c r="AG594" s="6"/>
      <c r="AH594" s="5" t="s">
        <v>2</v>
      </c>
      <c r="AI594" s="5" t="s">
        <v>2064</v>
      </c>
      <c r="AJ594" s="5" t="s">
        <v>824</v>
      </c>
      <c r="AK594" s="21" t="s">
        <v>2</v>
      </c>
      <c r="AL594" s="72" t="s">
        <v>3894</v>
      </c>
      <c r="AM594" s="54" t="s">
        <v>4179</v>
      </c>
      <c r="AN594" s="34" t="s">
        <v>828</v>
      </c>
    </row>
    <row r="595" spans="2:40" x14ac:dyDescent="0.3">
      <c r="B595" s="18" t="s">
        <v>3515</v>
      </c>
      <c r="C595" s="47" t="s">
        <v>3998</v>
      </c>
      <c r="D595" s="15" t="s">
        <v>951</v>
      </c>
      <c r="E595" s="68" t="s">
        <v>2</v>
      </c>
      <c r="F595" s="55" t="s">
        <v>2</v>
      </c>
      <c r="G595" s="40" t="s">
        <v>2745</v>
      </c>
      <c r="H595" s="71" t="s">
        <v>3894</v>
      </c>
      <c r="I595" s="67" t="s">
        <v>8</v>
      </c>
      <c r="J595" s="73" t="s">
        <v>270</v>
      </c>
      <c r="K595" s="4">
        <v>5000300</v>
      </c>
      <c r="L595" s="41">
        <v>82.927000000000007</v>
      </c>
      <c r="M595" s="4">
        <v>4146350</v>
      </c>
      <c r="N595" s="4">
        <v>5000000</v>
      </c>
      <c r="O595" s="4">
        <v>5000211</v>
      </c>
      <c r="P595" s="4">
        <v>0</v>
      </c>
      <c r="Q595" s="4">
        <v>-86</v>
      </c>
      <c r="R595" s="4">
        <v>0</v>
      </c>
      <c r="S595" s="4">
        <v>0</v>
      </c>
      <c r="T595" s="23">
        <v>2.375</v>
      </c>
      <c r="U595" s="23">
        <v>2.3730000000000002</v>
      </c>
      <c r="V595" s="5" t="s">
        <v>10</v>
      </c>
      <c r="W595" s="4">
        <v>34965</v>
      </c>
      <c r="X595" s="4">
        <v>118750</v>
      </c>
      <c r="Y595" s="14">
        <v>44334</v>
      </c>
      <c r="Z595" s="14">
        <v>47557</v>
      </c>
      <c r="AA595" s="2"/>
      <c r="AB595" s="69" t="s">
        <v>3892</v>
      </c>
      <c r="AC595" s="5" t="s">
        <v>4178</v>
      </c>
      <c r="AD595" s="2"/>
      <c r="AE595" s="14">
        <v>47467</v>
      </c>
      <c r="AF595" s="23">
        <v>100</v>
      </c>
      <c r="AG595" s="9">
        <v>47467</v>
      </c>
      <c r="AH595" s="5" t="s">
        <v>2394</v>
      </c>
      <c r="AI595" s="5" t="s">
        <v>3732</v>
      </c>
      <c r="AJ595" s="5" t="s">
        <v>3206</v>
      </c>
      <c r="AK595" s="21" t="s">
        <v>2</v>
      </c>
      <c r="AL595" s="72" t="s">
        <v>3894</v>
      </c>
      <c r="AM595" s="54" t="s">
        <v>4179</v>
      </c>
      <c r="AN595" s="34" t="s">
        <v>1189</v>
      </c>
    </row>
    <row r="596" spans="2:40" x14ac:dyDescent="0.3">
      <c r="B596" s="18" t="s">
        <v>603</v>
      </c>
      <c r="C596" s="47" t="s">
        <v>110</v>
      </c>
      <c r="D596" s="15" t="s">
        <v>3999</v>
      </c>
      <c r="E596" s="68" t="s">
        <v>2</v>
      </c>
      <c r="F596" s="55" t="s">
        <v>2</v>
      </c>
      <c r="G596" s="40" t="s">
        <v>2</v>
      </c>
      <c r="H596" s="71" t="s">
        <v>3894</v>
      </c>
      <c r="I596" s="67" t="s">
        <v>1164</v>
      </c>
      <c r="J596" s="73" t="s">
        <v>2</v>
      </c>
      <c r="K596" s="4">
        <v>3000000</v>
      </c>
      <c r="L596" s="41">
        <v>96.06</v>
      </c>
      <c r="M596" s="4">
        <v>2881800</v>
      </c>
      <c r="N596" s="4">
        <v>3000000</v>
      </c>
      <c r="O596" s="4">
        <v>3000000</v>
      </c>
      <c r="P596" s="4">
        <v>0</v>
      </c>
      <c r="Q596" s="4">
        <v>0</v>
      </c>
      <c r="R596" s="4">
        <v>0</v>
      </c>
      <c r="S596" s="4">
        <v>0</v>
      </c>
      <c r="T596" s="23">
        <v>3.47</v>
      </c>
      <c r="U596" s="23">
        <v>3.47</v>
      </c>
      <c r="V596" s="5" t="s">
        <v>268</v>
      </c>
      <c r="W596" s="4">
        <v>39038</v>
      </c>
      <c r="X596" s="4">
        <v>104100</v>
      </c>
      <c r="Y596" s="14">
        <v>42963</v>
      </c>
      <c r="Z596" s="14">
        <v>45520</v>
      </c>
      <c r="AA596" s="2"/>
      <c r="AB596" s="69" t="s">
        <v>1671</v>
      </c>
      <c r="AC596" s="5" t="s">
        <v>2</v>
      </c>
      <c r="AD596" s="2"/>
      <c r="AE596" s="10"/>
      <c r="AF596" s="23"/>
      <c r="AG596" s="6"/>
      <c r="AH596" s="5" t="s">
        <v>2864</v>
      </c>
      <c r="AI596" s="5" t="s">
        <v>2865</v>
      </c>
      <c r="AJ596" s="5" t="s">
        <v>2866</v>
      </c>
      <c r="AK596" s="21" t="s">
        <v>2</v>
      </c>
      <c r="AL596" s="72" t="s">
        <v>3894</v>
      </c>
      <c r="AM596" s="54" t="s">
        <v>4179</v>
      </c>
      <c r="AN596" s="34" t="s">
        <v>2867</v>
      </c>
    </row>
    <row r="597" spans="2:40" x14ac:dyDescent="0.3">
      <c r="B597" s="18" t="s">
        <v>1749</v>
      </c>
      <c r="C597" s="47" t="s">
        <v>3207</v>
      </c>
      <c r="D597" s="15" t="s">
        <v>3999</v>
      </c>
      <c r="E597" s="68" t="s">
        <v>2</v>
      </c>
      <c r="F597" s="55" t="s">
        <v>2</v>
      </c>
      <c r="G597" s="40" t="s">
        <v>2</v>
      </c>
      <c r="H597" s="71" t="s">
        <v>3894</v>
      </c>
      <c r="I597" s="67" t="s">
        <v>1164</v>
      </c>
      <c r="J597" s="73" t="s">
        <v>2</v>
      </c>
      <c r="K597" s="4">
        <v>3000000</v>
      </c>
      <c r="L597" s="41">
        <v>95.561999999999998</v>
      </c>
      <c r="M597" s="4">
        <v>2866860</v>
      </c>
      <c r="N597" s="4">
        <v>3000000</v>
      </c>
      <c r="O597" s="4">
        <v>3000000</v>
      </c>
      <c r="P597" s="4">
        <v>0</v>
      </c>
      <c r="Q597" s="4">
        <v>0</v>
      </c>
      <c r="R597" s="4">
        <v>0</v>
      </c>
      <c r="S597" s="4">
        <v>0</v>
      </c>
      <c r="T597" s="23">
        <v>3.57</v>
      </c>
      <c r="U597" s="23">
        <v>3.57</v>
      </c>
      <c r="V597" s="5" t="s">
        <v>1916</v>
      </c>
      <c r="W597" s="4">
        <v>49088</v>
      </c>
      <c r="X597" s="4">
        <v>107100</v>
      </c>
      <c r="Y597" s="14">
        <v>43116</v>
      </c>
      <c r="Z597" s="14">
        <v>45673</v>
      </c>
      <c r="AA597" s="2"/>
      <c r="AB597" s="69" t="s">
        <v>1671</v>
      </c>
      <c r="AC597" s="5" t="s">
        <v>2</v>
      </c>
      <c r="AD597" s="2"/>
      <c r="AE597" s="10"/>
      <c r="AF597" s="23"/>
      <c r="AG597" s="6"/>
      <c r="AH597" s="5" t="s">
        <v>2864</v>
      </c>
      <c r="AI597" s="5" t="s">
        <v>2865</v>
      </c>
      <c r="AJ597" s="5" t="s">
        <v>2866</v>
      </c>
      <c r="AK597" s="21" t="s">
        <v>2</v>
      </c>
      <c r="AL597" s="72" t="s">
        <v>3894</v>
      </c>
      <c r="AM597" s="54" t="s">
        <v>4179</v>
      </c>
      <c r="AN597" s="34" t="s">
        <v>2867</v>
      </c>
    </row>
    <row r="598" spans="2:40" x14ac:dyDescent="0.3">
      <c r="B598" s="18" t="s">
        <v>2868</v>
      </c>
      <c r="C598" s="47" t="s">
        <v>2065</v>
      </c>
      <c r="D598" s="15" t="s">
        <v>3733</v>
      </c>
      <c r="E598" s="68" t="s">
        <v>2</v>
      </c>
      <c r="F598" s="55" t="s">
        <v>2</v>
      </c>
      <c r="G598" s="40" t="s">
        <v>2</v>
      </c>
      <c r="H598" s="71" t="s">
        <v>3894</v>
      </c>
      <c r="I598" s="67" t="s">
        <v>1164</v>
      </c>
      <c r="J598" s="73" t="s">
        <v>2</v>
      </c>
      <c r="K598" s="4">
        <v>5000000</v>
      </c>
      <c r="L598" s="41">
        <v>79.144000000000005</v>
      </c>
      <c r="M598" s="4">
        <v>3957200</v>
      </c>
      <c r="N598" s="4">
        <v>5000000</v>
      </c>
      <c r="O598" s="4">
        <v>5000000</v>
      </c>
      <c r="P598" s="4">
        <v>0</v>
      </c>
      <c r="Q598" s="4">
        <v>0</v>
      </c>
      <c r="R598" s="4">
        <v>0</v>
      </c>
      <c r="S598" s="4">
        <v>0</v>
      </c>
      <c r="T598" s="23">
        <v>3.05</v>
      </c>
      <c r="U598" s="23">
        <v>3.05</v>
      </c>
      <c r="V598" s="5" t="s">
        <v>268</v>
      </c>
      <c r="W598" s="4">
        <v>61847</v>
      </c>
      <c r="X598" s="4">
        <v>152500</v>
      </c>
      <c r="Y598" s="14">
        <v>44413</v>
      </c>
      <c r="Z598" s="14">
        <v>48065</v>
      </c>
      <c r="AA598" s="2"/>
      <c r="AB598" s="69" t="s">
        <v>2783</v>
      </c>
      <c r="AC598" s="5" t="s">
        <v>2</v>
      </c>
      <c r="AD598" s="2"/>
      <c r="AE598" s="10"/>
      <c r="AF598" s="23"/>
      <c r="AG598" s="6"/>
      <c r="AH598" s="5" t="s">
        <v>2</v>
      </c>
      <c r="AI598" s="5" t="s">
        <v>3733</v>
      </c>
      <c r="AJ598" s="5" t="s">
        <v>2</v>
      </c>
      <c r="AK598" s="21" t="s">
        <v>2</v>
      </c>
      <c r="AL598" s="72" t="s">
        <v>3894</v>
      </c>
      <c r="AM598" s="54" t="s">
        <v>4179</v>
      </c>
      <c r="AN598" s="34" t="s">
        <v>2867</v>
      </c>
    </row>
    <row r="599" spans="2:40" x14ac:dyDescent="0.3">
      <c r="B599" s="18" t="s">
        <v>4000</v>
      </c>
      <c r="C599" s="47" t="s">
        <v>3734</v>
      </c>
      <c r="D599" s="15" t="s">
        <v>1487</v>
      </c>
      <c r="E599" s="68" t="s">
        <v>2</v>
      </c>
      <c r="F599" s="55" t="s">
        <v>2</v>
      </c>
      <c r="G599" s="40" t="s">
        <v>2745</v>
      </c>
      <c r="H599" s="71" t="s">
        <v>3894</v>
      </c>
      <c r="I599" s="67" t="s">
        <v>8</v>
      </c>
      <c r="J599" s="73" t="s">
        <v>270</v>
      </c>
      <c r="K599" s="4">
        <v>3000000</v>
      </c>
      <c r="L599" s="41">
        <v>97.712999999999994</v>
      </c>
      <c r="M599" s="4">
        <v>2931390</v>
      </c>
      <c r="N599" s="4">
        <v>3000000</v>
      </c>
      <c r="O599" s="4">
        <v>3000000</v>
      </c>
      <c r="P599" s="4">
        <v>0</v>
      </c>
      <c r="Q599" s="4">
        <v>0</v>
      </c>
      <c r="R599" s="4">
        <v>0</v>
      </c>
      <c r="S599" s="4">
        <v>0</v>
      </c>
      <c r="T599" s="23">
        <v>3.5430000000000001</v>
      </c>
      <c r="U599" s="23">
        <v>3.5430000000000001</v>
      </c>
      <c r="V599" s="5" t="s">
        <v>268</v>
      </c>
      <c r="W599" s="4">
        <v>36611</v>
      </c>
      <c r="X599" s="4">
        <v>106290</v>
      </c>
      <c r="Y599" s="14">
        <v>42788</v>
      </c>
      <c r="Z599" s="14">
        <v>45349</v>
      </c>
      <c r="AA599" s="2"/>
      <c r="AB599" s="69" t="s">
        <v>3892</v>
      </c>
      <c r="AC599" s="5" t="s">
        <v>7</v>
      </c>
      <c r="AD599" s="2"/>
      <c r="AE599" s="14">
        <v>45287</v>
      </c>
      <c r="AF599" s="23">
        <v>100</v>
      </c>
      <c r="AG599" s="6"/>
      <c r="AH599" s="5" t="s">
        <v>3208</v>
      </c>
      <c r="AI599" s="5" t="s">
        <v>1487</v>
      </c>
      <c r="AJ599" s="5" t="s">
        <v>2</v>
      </c>
      <c r="AK599" s="21" t="s">
        <v>2</v>
      </c>
      <c r="AL599" s="72" t="s">
        <v>3894</v>
      </c>
      <c r="AM599" s="54" t="s">
        <v>4179</v>
      </c>
      <c r="AN599" s="34" t="s">
        <v>1189</v>
      </c>
    </row>
    <row r="600" spans="2:40" x14ac:dyDescent="0.3">
      <c r="B600" s="18" t="s">
        <v>604</v>
      </c>
      <c r="C600" s="47" t="s">
        <v>1268</v>
      </c>
      <c r="D600" s="15" t="s">
        <v>4001</v>
      </c>
      <c r="E600" s="68" t="s">
        <v>2</v>
      </c>
      <c r="F600" s="55" t="s">
        <v>2</v>
      </c>
      <c r="G600" s="40" t="s">
        <v>2745</v>
      </c>
      <c r="H600" s="71" t="s">
        <v>2745</v>
      </c>
      <c r="I600" s="67" t="s">
        <v>1414</v>
      </c>
      <c r="J600" s="73" t="s">
        <v>270</v>
      </c>
      <c r="K600" s="4">
        <v>5610275</v>
      </c>
      <c r="L600" s="41">
        <v>95.364999999999995</v>
      </c>
      <c r="M600" s="4">
        <v>5245075</v>
      </c>
      <c r="N600" s="4">
        <v>5500000</v>
      </c>
      <c r="O600" s="4">
        <v>5552608</v>
      </c>
      <c r="P600" s="4">
        <v>0</v>
      </c>
      <c r="Q600" s="4">
        <v>-16612</v>
      </c>
      <c r="R600" s="4">
        <v>0</v>
      </c>
      <c r="S600" s="4">
        <v>0</v>
      </c>
      <c r="T600" s="23">
        <v>3.4</v>
      </c>
      <c r="U600" s="23">
        <v>3.0619999999999998</v>
      </c>
      <c r="V600" s="5" t="s">
        <v>10</v>
      </c>
      <c r="W600" s="4">
        <v>62333</v>
      </c>
      <c r="X600" s="4">
        <v>187000</v>
      </c>
      <c r="Y600" s="14">
        <v>43600</v>
      </c>
      <c r="Z600" s="14">
        <v>46082</v>
      </c>
      <c r="AA600" s="2"/>
      <c r="AB600" s="69" t="s">
        <v>3892</v>
      </c>
      <c r="AC600" s="5" t="s">
        <v>4178</v>
      </c>
      <c r="AD600" s="2"/>
      <c r="AE600" s="14">
        <v>46023</v>
      </c>
      <c r="AF600" s="23">
        <v>100</v>
      </c>
      <c r="AG600" s="14">
        <v>46023</v>
      </c>
      <c r="AH600" s="5" t="s">
        <v>111</v>
      </c>
      <c r="AI600" s="5" t="s">
        <v>4001</v>
      </c>
      <c r="AJ600" s="5" t="s">
        <v>2</v>
      </c>
      <c r="AK600" s="21" t="s">
        <v>2</v>
      </c>
      <c r="AL600" s="72" t="s">
        <v>3894</v>
      </c>
      <c r="AM600" s="54" t="s">
        <v>4179</v>
      </c>
      <c r="AN600" s="34" t="s">
        <v>512</v>
      </c>
    </row>
    <row r="601" spans="2:40" x14ac:dyDescent="0.3">
      <c r="B601" s="18" t="s">
        <v>1750</v>
      </c>
      <c r="C601" s="47" t="s">
        <v>3209</v>
      </c>
      <c r="D601" s="15" t="s">
        <v>605</v>
      </c>
      <c r="E601" s="68" t="s">
        <v>2</v>
      </c>
      <c r="F601" s="55" t="s">
        <v>2</v>
      </c>
      <c r="G601" s="40" t="s">
        <v>2745</v>
      </c>
      <c r="H601" s="71" t="s">
        <v>3894</v>
      </c>
      <c r="I601" s="67" t="s">
        <v>3408</v>
      </c>
      <c r="J601" s="73" t="s">
        <v>270</v>
      </c>
      <c r="K601" s="4">
        <v>4995400</v>
      </c>
      <c r="L601" s="41">
        <v>97.876000000000005</v>
      </c>
      <c r="M601" s="4">
        <v>4893800</v>
      </c>
      <c r="N601" s="4">
        <v>5000000</v>
      </c>
      <c r="O601" s="4">
        <v>4998147</v>
      </c>
      <c r="P601" s="4">
        <v>0</v>
      </c>
      <c r="Q601" s="4">
        <v>660</v>
      </c>
      <c r="R601" s="4">
        <v>0</v>
      </c>
      <c r="S601" s="4">
        <v>0</v>
      </c>
      <c r="T601" s="23">
        <v>3.8</v>
      </c>
      <c r="U601" s="23">
        <v>3.8149999999999999</v>
      </c>
      <c r="V601" s="5" t="s">
        <v>268</v>
      </c>
      <c r="W601" s="4">
        <v>71778</v>
      </c>
      <c r="X601" s="4">
        <v>190000</v>
      </c>
      <c r="Y601" s="14">
        <v>43320</v>
      </c>
      <c r="Z601" s="14">
        <v>45884</v>
      </c>
      <c r="AA601" s="2"/>
      <c r="AB601" s="69" t="s">
        <v>3892</v>
      </c>
      <c r="AC601" s="5" t="s">
        <v>4178</v>
      </c>
      <c r="AD601" s="2"/>
      <c r="AE601" s="14">
        <v>45823</v>
      </c>
      <c r="AF601" s="23">
        <v>100</v>
      </c>
      <c r="AG601" s="6"/>
      <c r="AH601" s="5" t="s">
        <v>112</v>
      </c>
      <c r="AI601" s="5" t="s">
        <v>1488</v>
      </c>
      <c r="AJ601" s="5" t="s">
        <v>1489</v>
      </c>
      <c r="AK601" s="21" t="s">
        <v>2</v>
      </c>
      <c r="AL601" s="72" t="s">
        <v>3894</v>
      </c>
      <c r="AM601" s="54" t="s">
        <v>4179</v>
      </c>
      <c r="AN601" s="34" t="s">
        <v>1650</v>
      </c>
    </row>
    <row r="602" spans="2:40" x14ac:dyDescent="0.3">
      <c r="B602" s="18" t="s">
        <v>2869</v>
      </c>
      <c r="C602" s="47" t="s">
        <v>4341</v>
      </c>
      <c r="D602" s="15" t="s">
        <v>605</v>
      </c>
      <c r="E602" s="68" t="s">
        <v>2</v>
      </c>
      <c r="F602" s="55" t="s">
        <v>2</v>
      </c>
      <c r="G602" s="40" t="s">
        <v>2745</v>
      </c>
      <c r="H602" s="71" t="s">
        <v>3894</v>
      </c>
      <c r="I602" s="67" t="s">
        <v>3408</v>
      </c>
      <c r="J602" s="73" t="s">
        <v>270</v>
      </c>
      <c r="K602" s="4">
        <v>17644060</v>
      </c>
      <c r="L602" s="41">
        <v>89.48</v>
      </c>
      <c r="M602" s="4">
        <v>15211600</v>
      </c>
      <c r="N602" s="4">
        <v>17000000</v>
      </c>
      <c r="O602" s="4">
        <v>17406022</v>
      </c>
      <c r="P602" s="4">
        <v>0</v>
      </c>
      <c r="Q602" s="4">
        <v>-97547</v>
      </c>
      <c r="R602" s="4">
        <v>0</v>
      </c>
      <c r="S602" s="4">
        <v>0</v>
      </c>
      <c r="T602" s="23">
        <v>2</v>
      </c>
      <c r="U602" s="23">
        <v>1.3879999999999999</v>
      </c>
      <c r="V602" s="5" t="s">
        <v>10</v>
      </c>
      <c r="W602" s="4">
        <v>102944</v>
      </c>
      <c r="X602" s="4">
        <v>340000</v>
      </c>
      <c r="Y602" s="14">
        <v>44047</v>
      </c>
      <c r="Z602" s="14">
        <v>46458</v>
      </c>
      <c r="AA602" s="2"/>
      <c r="AB602" s="69" t="s">
        <v>3892</v>
      </c>
      <c r="AC602" s="5" t="s">
        <v>4178</v>
      </c>
      <c r="AD602" s="2"/>
      <c r="AE602" s="14">
        <v>46399</v>
      </c>
      <c r="AF602" s="23">
        <v>100</v>
      </c>
      <c r="AG602" s="14">
        <v>46399</v>
      </c>
      <c r="AH602" s="5" t="s">
        <v>112</v>
      </c>
      <c r="AI602" s="5" t="s">
        <v>1488</v>
      </c>
      <c r="AJ602" s="5" t="s">
        <v>1489</v>
      </c>
      <c r="AK602" s="21" t="s">
        <v>2</v>
      </c>
      <c r="AL602" s="72" t="s">
        <v>3894</v>
      </c>
      <c r="AM602" s="54" t="s">
        <v>4179</v>
      </c>
      <c r="AN602" s="34" t="s">
        <v>1650</v>
      </c>
    </row>
    <row r="603" spans="2:40" x14ac:dyDescent="0.3">
      <c r="B603" s="18" t="s">
        <v>4342</v>
      </c>
      <c r="C603" s="47" t="s">
        <v>3210</v>
      </c>
      <c r="D603" s="15" t="s">
        <v>2066</v>
      </c>
      <c r="E603" s="68" t="s">
        <v>2</v>
      </c>
      <c r="F603" s="55" t="s">
        <v>2</v>
      </c>
      <c r="G603" s="40" t="s">
        <v>3894</v>
      </c>
      <c r="H603" s="71" t="s">
        <v>2745</v>
      </c>
      <c r="I603" s="67" t="s">
        <v>3660</v>
      </c>
      <c r="J603" s="73" t="s">
        <v>270</v>
      </c>
      <c r="K603" s="4">
        <v>5000000</v>
      </c>
      <c r="L603" s="41">
        <v>98.869</v>
      </c>
      <c r="M603" s="4">
        <v>4943450</v>
      </c>
      <c r="N603" s="4">
        <v>5000000</v>
      </c>
      <c r="O603" s="4">
        <v>5000000</v>
      </c>
      <c r="P603" s="4">
        <v>0</v>
      </c>
      <c r="Q603" s="4">
        <v>0</v>
      </c>
      <c r="R603" s="4">
        <v>0</v>
      </c>
      <c r="S603" s="4">
        <v>0</v>
      </c>
      <c r="T603" s="23">
        <v>3.7759999999999998</v>
      </c>
      <c r="U603" s="23">
        <v>3.774</v>
      </c>
      <c r="V603" s="5" t="s">
        <v>3898</v>
      </c>
      <c r="W603" s="4">
        <v>14684</v>
      </c>
      <c r="X603" s="4">
        <v>188800</v>
      </c>
      <c r="Y603" s="14">
        <v>43432</v>
      </c>
      <c r="Z603" s="14">
        <v>45629</v>
      </c>
      <c r="AA603" s="2"/>
      <c r="AB603" s="69" t="s">
        <v>3892</v>
      </c>
      <c r="AC603" s="5" t="s">
        <v>4178</v>
      </c>
      <c r="AD603" s="2"/>
      <c r="AE603" s="14">
        <v>45263</v>
      </c>
      <c r="AF603" s="23">
        <v>100</v>
      </c>
      <c r="AG603" s="6"/>
      <c r="AH603" s="5" t="s">
        <v>4002</v>
      </c>
      <c r="AI603" s="5" t="s">
        <v>2066</v>
      </c>
      <c r="AJ603" s="5" t="s">
        <v>2</v>
      </c>
      <c r="AK603" s="21" t="s">
        <v>2</v>
      </c>
      <c r="AL603" s="72" t="s">
        <v>3894</v>
      </c>
      <c r="AM603" s="54" t="s">
        <v>4179</v>
      </c>
      <c r="AN603" s="34" t="s">
        <v>1170</v>
      </c>
    </row>
    <row r="604" spans="2:40" x14ac:dyDescent="0.3">
      <c r="B604" s="18" t="s">
        <v>952</v>
      </c>
      <c r="C604" s="47" t="s">
        <v>3211</v>
      </c>
      <c r="D604" s="15" t="s">
        <v>2066</v>
      </c>
      <c r="E604" s="68" t="s">
        <v>2</v>
      </c>
      <c r="F604" s="55" t="s">
        <v>2</v>
      </c>
      <c r="G604" s="40" t="s">
        <v>3894</v>
      </c>
      <c r="H604" s="71" t="s">
        <v>2745</v>
      </c>
      <c r="I604" s="67" t="s">
        <v>287</v>
      </c>
      <c r="J604" s="73" t="s">
        <v>270</v>
      </c>
      <c r="K604" s="4">
        <v>3000000</v>
      </c>
      <c r="L604" s="41">
        <v>94.522000000000006</v>
      </c>
      <c r="M604" s="4">
        <v>2835660</v>
      </c>
      <c r="N604" s="4">
        <v>3000000</v>
      </c>
      <c r="O604" s="4">
        <v>3000000</v>
      </c>
      <c r="P604" s="4">
        <v>0</v>
      </c>
      <c r="Q604" s="4">
        <v>0</v>
      </c>
      <c r="R604" s="4">
        <v>0</v>
      </c>
      <c r="S604" s="4">
        <v>0</v>
      </c>
      <c r="T604" s="23">
        <v>4.4210000000000003</v>
      </c>
      <c r="U604" s="23">
        <v>4.2389999999999999</v>
      </c>
      <c r="V604" s="5" t="s">
        <v>3409</v>
      </c>
      <c r="W604" s="4">
        <v>17684</v>
      </c>
      <c r="X604" s="4">
        <v>66315</v>
      </c>
      <c r="Y604" s="14">
        <v>44691</v>
      </c>
      <c r="Z604" s="14">
        <v>48712</v>
      </c>
      <c r="AA604" s="2"/>
      <c r="AB604" s="69" t="s">
        <v>3892</v>
      </c>
      <c r="AC604" s="5" t="s">
        <v>4178</v>
      </c>
      <c r="AD604" s="2"/>
      <c r="AE604" s="14">
        <v>48347</v>
      </c>
      <c r="AF604" s="23">
        <v>100</v>
      </c>
      <c r="AG604" s="6"/>
      <c r="AH604" s="5" t="s">
        <v>4002</v>
      </c>
      <c r="AI604" s="5" t="s">
        <v>2066</v>
      </c>
      <c r="AJ604" s="5" t="s">
        <v>2</v>
      </c>
      <c r="AK604" s="21" t="s">
        <v>2</v>
      </c>
      <c r="AL604" s="72" t="s">
        <v>3894</v>
      </c>
      <c r="AM604" s="54" t="s">
        <v>4179</v>
      </c>
      <c r="AN604" s="34" t="s">
        <v>819</v>
      </c>
    </row>
    <row r="605" spans="2:40" x14ac:dyDescent="0.3">
      <c r="B605" s="18" t="s">
        <v>2067</v>
      </c>
      <c r="C605" s="47" t="s">
        <v>2068</v>
      </c>
      <c r="D605" s="15" t="s">
        <v>3212</v>
      </c>
      <c r="E605" s="68" t="s">
        <v>2</v>
      </c>
      <c r="F605" s="55" t="s">
        <v>2</v>
      </c>
      <c r="G605" s="40" t="s">
        <v>2745</v>
      </c>
      <c r="H605" s="71" t="s">
        <v>3894</v>
      </c>
      <c r="I605" s="67" t="s">
        <v>3408</v>
      </c>
      <c r="J605" s="73" t="s">
        <v>270</v>
      </c>
      <c r="K605" s="4">
        <v>9521500</v>
      </c>
      <c r="L605" s="41">
        <v>96.594999999999999</v>
      </c>
      <c r="M605" s="4">
        <v>9659500</v>
      </c>
      <c r="N605" s="4">
        <v>10000000</v>
      </c>
      <c r="O605" s="4">
        <v>9788902</v>
      </c>
      <c r="P605" s="4">
        <v>0</v>
      </c>
      <c r="Q605" s="4">
        <v>68828</v>
      </c>
      <c r="R605" s="4">
        <v>0</v>
      </c>
      <c r="S605" s="4">
        <v>0</v>
      </c>
      <c r="T605" s="23">
        <v>3.375</v>
      </c>
      <c r="U605" s="23">
        <v>4.173</v>
      </c>
      <c r="V605" s="5" t="s">
        <v>3409</v>
      </c>
      <c r="W605" s="4">
        <v>56250</v>
      </c>
      <c r="X605" s="4">
        <v>337500</v>
      </c>
      <c r="Y605" s="14">
        <v>43418</v>
      </c>
      <c r="Z605" s="14">
        <v>45962</v>
      </c>
      <c r="AA605" s="2"/>
      <c r="AB605" s="69" t="s">
        <v>3892</v>
      </c>
      <c r="AC605" s="5" t="s">
        <v>4178</v>
      </c>
      <c r="AD605" s="2"/>
      <c r="AE605" s="14">
        <v>45870</v>
      </c>
      <c r="AF605" s="23">
        <v>100</v>
      </c>
      <c r="AG605" s="10"/>
      <c r="AH605" s="5" t="s">
        <v>1490</v>
      </c>
      <c r="AI605" s="5" t="s">
        <v>3212</v>
      </c>
      <c r="AJ605" s="5" t="s">
        <v>2</v>
      </c>
      <c r="AK605" s="21" t="s">
        <v>2</v>
      </c>
      <c r="AL605" s="72" t="s">
        <v>3894</v>
      </c>
      <c r="AM605" s="54" t="s">
        <v>4179</v>
      </c>
      <c r="AN605" s="34" t="s">
        <v>1650</v>
      </c>
    </row>
    <row r="606" spans="2:40" x14ac:dyDescent="0.3">
      <c r="B606" s="18" t="s">
        <v>4003</v>
      </c>
      <c r="C606" s="47" t="s">
        <v>2870</v>
      </c>
      <c r="D606" s="15" t="s">
        <v>953</v>
      </c>
      <c r="E606" s="68" t="s">
        <v>2</v>
      </c>
      <c r="F606" s="55" t="s">
        <v>2</v>
      </c>
      <c r="G606" s="40" t="s">
        <v>2745</v>
      </c>
      <c r="H606" s="71" t="s">
        <v>2745</v>
      </c>
      <c r="I606" s="67" t="s">
        <v>287</v>
      </c>
      <c r="J606" s="73" t="s">
        <v>270</v>
      </c>
      <c r="K606" s="4">
        <v>10000000</v>
      </c>
      <c r="L606" s="41">
        <v>81.010000000000005</v>
      </c>
      <c r="M606" s="4">
        <v>8101000</v>
      </c>
      <c r="N606" s="4">
        <v>10000000</v>
      </c>
      <c r="O606" s="4">
        <v>10000000</v>
      </c>
      <c r="P606" s="4">
        <v>0</v>
      </c>
      <c r="Q606" s="4">
        <v>0</v>
      </c>
      <c r="R606" s="4">
        <v>0</v>
      </c>
      <c r="S606" s="4">
        <v>0</v>
      </c>
      <c r="T606" s="23">
        <v>2.294</v>
      </c>
      <c r="U606" s="23">
        <v>2.294</v>
      </c>
      <c r="V606" s="5" t="s">
        <v>268</v>
      </c>
      <c r="W606" s="4">
        <v>86662</v>
      </c>
      <c r="X606" s="4">
        <v>229400</v>
      </c>
      <c r="Y606" s="14">
        <v>44126</v>
      </c>
      <c r="Z606" s="14">
        <v>47710</v>
      </c>
      <c r="AA606" s="2"/>
      <c r="AB606" s="69" t="s">
        <v>3892</v>
      </c>
      <c r="AC606" s="5" t="s">
        <v>4178</v>
      </c>
      <c r="AD606" s="2"/>
      <c r="AE606" s="14">
        <v>47529</v>
      </c>
      <c r="AF606" s="23">
        <v>100</v>
      </c>
      <c r="AG606" s="6"/>
      <c r="AH606" s="5" t="s">
        <v>4343</v>
      </c>
      <c r="AI606" s="5" t="s">
        <v>953</v>
      </c>
      <c r="AJ606" s="5" t="s">
        <v>2</v>
      </c>
      <c r="AK606" s="21" t="s">
        <v>2</v>
      </c>
      <c r="AL606" s="72" t="s">
        <v>3894</v>
      </c>
      <c r="AM606" s="54" t="s">
        <v>4179</v>
      </c>
      <c r="AN606" s="34" t="s">
        <v>819</v>
      </c>
    </row>
    <row r="607" spans="2:40" x14ac:dyDescent="0.3">
      <c r="B607" s="18" t="s">
        <v>606</v>
      </c>
      <c r="C607" s="47" t="s">
        <v>4344</v>
      </c>
      <c r="D607" s="15" t="s">
        <v>113</v>
      </c>
      <c r="E607" s="68" t="s">
        <v>2</v>
      </c>
      <c r="F607" s="55" t="s">
        <v>2</v>
      </c>
      <c r="G607" s="40" t="s">
        <v>2745</v>
      </c>
      <c r="H607" s="71" t="s">
        <v>3894</v>
      </c>
      <c r="I607" s="67" t="s">
        <v>1164</v>
      </c>
      <c r="J607" s="73" t="s">
        <v>270</v>
      </c>
      <c r="K607" s="4">
        <v>10146951</v>
      </c>
      <c r="L607" s="41">
        <v>86.180999999999997</v>
      </c>
      <c r="M607" s="4">
        <v>8618100</v>
      </c>
      <c r="N607" s="4">
        <v>10000000</v>
      </c>
      <c r="O607" s="4">
        <v>10112443</v>
      </c>
      <c r="P607" s="4">
        <v>0</v>
      </c>
      <c r="Q607" s="4">
        <v>-21733</v>
      </c>
      <c r="R607" s="4">
        <v>0</v>
      </c>
      <c r="S607" s="4">
        <v>0</v>
      </c>
      <c r="T607" s="23">
        <v>2.0499999999999998</v>
      </c>
      <c r="U607" s="23">
        <v>1.81</v>
      </c>
      <c r="V607" s="5" t="s">
        <v>268</v>
      </c>
      <c r="W607" s="4">
        <v>77444</v>
      </c>
      <c r="X607" s="4">
        <v>205000</v>
      </c>
      <c r="Y607" s="14">
        <v>44341</v>
      </c>
      <c r="Z607" s="14">
        <v>46798</v>
      </c>
      <c r="AA607" s="2"/>
      <c r="AB607" s="69" t="s">
        <v>3892</v>
      </c>
      <c r="AC607" s="5" t="s">
        <v>4178</v>
      </c>
      <c r="AD607" s="2"/>
      <c r="AE607" s="14">
        <v>46736</v>
      </c>
      <c r="AF607" s="23">
        <v>100</v>
      </c>
      <c r="AG607" s="9">
        <v>46736</v>
      </c>
      <c r="AH607" s="5" t="s">
        <v>607</v>
      </c>
      <c r="AI607" s="5" t="s">
        <v>113</v>
      </c>
      <c r="AJ607" s="5" t="s">
        <v>2</v>
      </c>
      <c r="AK607" s="21" t="s">
        <v>2</v>
      </c>
      <c r="AL607" s="72" t="s">
        <v>2745</v>
      </c>
      <c r="AM607" s="54" t="s">
        <v>4179</v>
      </c>
      <c r="AN607" s="34" t="s">
        <v>828</v>
      </c>
    </row>
    <row r="608" spans="2:40" x14ac:dyDescent="0.3">
      <c r="B608" s="18" t="s">
        <v>1751</v>
      </c>
      <c r="C608" s="47" t="s">
        <v>2395</v>
      </c>
      <c r="D608" s="15" t="s">
        <v>113</v>
      </c>
      <c r="E608" s="68" t="s">
        <v>2</v>
      </c>
      <c r="F608" s="55" t="s">
        <v>2</v>
      </c>
      <c r="G608" s="40" t="s">
        <v>2745</v>
      </c>
      <c r="H608" s="71" t="s">
        <v>3894</v>
      </c>
      <c r="I608" s="67" t="s">
        <v>1164</v>
      </c>
      <c r="J608" s="73" t="s">
        <v>270</v>
      </c>
      <c r="K608" s="4">
        <v>4992050</v>
      </c>
      <c r="L608" s="41">
        <v>99.447999999999993</v>
      </c>
      <c r="M608" s="4">
        <v>4972400</v>
      </c>
      <c r="N608" s="4">
        <v>5000000</v>
      </c>
      <c r="O608" s="4">
        <v>4992050</v>
      </c>
      <c r="P608" s="4">
        <v>0</v>
      </c>
      <c r="Q608" s="4">
        <v>0</v>
      </c>
      <c r="R608" s="4">
        <v>0</v>
      </c>
      <c r="S608" s="4">
        <v>0</v>
      </c>
      <c r="T608" s="23">
        <v>5.2</v>
      </c>
      <c r="U608" s="23">
        <v>5.2210000000000001</v>
      </c>
      <c r="V608" s="5" t="s">
        <v>1916</v>
      </c>
      <c r="W608" s="4">
        <v>76556</v>
      </c>
      <c r="X608" s="4">
        <v>0</v>
      </c>
      <c r="Y608" s="14">
        <v>44816</v>
      </c>
      <c r="Z608" s="14">
        <v>48594</v>
      </c>
      <c r="AA608" s="2"/>
      <c r="AB608" s="69" t="s">
        <v>3892</v>
      </c>
      <c r="AC608" s="5" t="s">
        <v>4178</v>
      </c>
      <c r="AD608" s="2"/>
      <c r="AE608" s="14">
        <v>48502</v>
      </c>
      <c r="AF608" s="23">
        <v>100</v>
      </c>
      <c r="AG608" s="6"/>
      <c r="AH608" s="5" t="s">
        <v>607</v>
      </c>
      <c r="AI608" s="5" t="s">
        <v>113</v>
      </c>
      <c r="AJ608" s="5" t="s">
        <v>2</v>
      </c>
      <c r="AK608" s="21" t="s">
        <v>2</v>
      </c>
      <c r="AL608" s="72" t="s">
        <v>3894</v>
      </c>
      <c r="AM608" s="54" t="s">
        <v>4179</v>
      </c>
      <c r="AN608" s="34" t="s">
        <v>828</v>
      </c>
    </row>
    <row r="609" spans="2:40" x14ac:dyDescent="0.3">
      <c r="B609" s="18" t="s">
        <v>2871</v>
      </c>
      <c r="C609" s="47" t="s">
        <v>4345</v>
      </c>
      <c r="D609" s="15" t="s">
        <v>4346</v>
      </c>
      <c r="E609" s="68" t="s">
        <v>2</v>
      </c>
      <c r="F609" s="55" t="s">
        <v>2</v>
      </c>
      <c r="G609" s="40" t="s">
        <v>2745</v>
      </c>
      <c r="H609" s="71" t="s">
        <v>2745</v>
      </c>
      <c r="I609" s="67" t="s">
        <v>1414</v>
      </c>
      <c r="J609" s="73" t="s">
        <v>270</v>
      </c>
      <c r="K609" s="4">
        <v>9696821</v>
      </c>
      <c r="L609" s="41">
        <v>81.263999999999996</v>
      </c>
      <c r="M609" s="4">
        <v>7646130</v>
      </c>
      <c r="N609" s="4">
        <v>9409000</v>
      </c>
      <c r="O609" s="4">
        <v>9657471</v>
      </c>
      <c r="P609" s="4">
        <v>0</v>
      </c>
      <c r="Q609" s="4">
        <v>-28544</v>
      </c>
      <c r="R609" s="4">
        <v>0</v>
      </c>
      <c r="S609" s="4">
        <v>0</v>
      </c>
      <c r="T609" s="23">
        <v>2.4</v>
      </c>
      <c r="U609" s="23">
        <v>2.0379999999999998</v>
      </c>
      <c r="V609" s="5" t="s">
        <v>10</v>
      </c>
      <c r="W609" s="4">
        <v>66490</v>
      </c>
      <c r="X609" s="4">
        <v>225816</v>
      </c>
      <c r="Y609" s="14">
        <v>44418</v>
      </c>
      <c r="Z609" s="14">
        <v>47922</v>
      </c>
      <c r="AA609" s="2"/>
      <c r="AB609" s="69" t="s">
        <v>3892</v>
      </c>
      <c r="AC609" s="5" t="s">
        <v>4178</v>
      </c>
      <c r="AD609" s="2"/>
      <c r="AE609" s="14">
        <v>47832</v>
      </c>
      <c r="AF609" s="23">
        <v>100</v>
      </c>
      <c r="AG609" s="9">
        <v>47832</v>
      </c>
      <c r="AH609" s="5" t="s">
        <v>4347</v>
      </c>
      <c r="AI609" s="5" t="s">
        <v>4346</v>
      </c>
      <c r="AJ609" s="5" t="s">
        <v>2</v>
      </c>
      <c r="AK609" s="21" t="s">
        <v>2</v>
      </c>
      <c r="AL609" s="72" t="s">
        <v>3894</v>
      </c>
      <c r="AM609" s="54" t="s">
        <v>4179</v>
      </c>
      <c r="AN609" s="34" t="s">
        <v>512</v>
      </c>
    </row>
    <row r="610" spans="2:40" x14ac:dyDescent="0.3">
      <c r="B610" s="18" t="s">
        <v>4004</v>
      </c>
      <c r="C610" s="47" t="s">
        <v>2872</v>
      </c>
      <c r="D610" s="15" t="s">
        <v>3735</v>
      </c>
      <c r="E610" s="68" t="s">
        <v>2</v>
      </c>
      <c r="F610" s="55" t="s">
        <v>2</v>
      </c>
      <c r="G610" s="40" t="s">
        <v>2745</v>
      </c>
      <c r="H610" s="71" t="s">
        <v>3894</v>
      </c>
      <c r="I610" s="67" t="s">
        <v>1164</v>
      </c>
      <c r="J610" s="73" t="s">
        <v>270</v>
      </c>
      <c r="K610" s="4">
        <v>1000000</v>
      </c>
      <c r="L610" s="41">
        <v>89.685000000000002</v>
      </c>
      <c r="M610" s="4">
        <v>896850</v>
      </c>
      <c r="N610" s="4">
        <v>1000000</v>
      </c>
      <c r="O610" s="4">
        <v>1000000</v>
      </c>
      <c r="P610" s="4">
        <v>0</v>
      </c>
      <c r="Q610" s="4">
        <v>0</v>
      </c>
      <c r="R610" s="4">
        <v>0</v>
      </c>
      <c r="S610" s="4">
        <v>0</v>
      </c>
      <c r="T610" s="23">
        <v>4.875</v>
      </c>
      <c r="U610" s="23">
        <v>4.875</v>
      </c>
      <c r="V610" s="5" t="s">
        <v>268</v>
      </c>
      <c r="W610" s="4">
        <v>20313</v>
      </c>
      <c r="X610" s="4">
        <v>48750</v>
      </c>
      <c r="Y610" s="14">
        <v>44428</v>
      </c>
      <c r="Z610" s="14">
        <v>47880</v>
      </c>
      <c r="AA610" s="2"/>
      <c r="AB610" s="69" t="s">
        <v>3892</v>
      </c>
      <c r="AC610" s="5" t="s">
        <v>4178</v>
      </c>
      <c r="AD610" s="2"/>
      <c r="AE610" s="14">
        <v>46054</v>
      </c>
      <c r="AF610" s="23">
        <v>102.438</v>
      </c>
      <c r="AG610" s="10"/>
      <c r="AH610" s="5" t="s">
        <v>114</v>
      </c>
      <c r="AI610" s="5" t="s">
        <v>3735</v>
      </c>
      <c r="AJ610" s="5" t="s">
        <v>2</v>
      </c>
      <c r="AK610" s="21" t="s">
        <v>2</v>
      </c>
      <c r="AL610" s="72" t="s">
        <v>3894</v>
      </c>
      <c r="AM610" s="54" t="s">
        <v>4179</v>
      </c>
      <c r="AN610" s="34" t="s">
        <v>828</v>
      </c>
    </row>
    <row r="611" spans="2:40" x14ac:dyDescent="0.3">
      <c r="B611" s="18" t="s">
        <v>608</v>
      </c>
      <c r="C611" s="47" t="s">
        <v>4005</v>
      </c>
      <c r="D611" s="15" t="s">
        <v>4006</v>
      </c>
      <c r="E611" s="68" t="s">
        <v>2</v>
      </c>
      <c r="F611" s="55" t="s">
        <v>2</v>
      </c>
      <c r="G611" s="40" t="s">
        <v>2745</v>
      </c>
      <c r="H611" s="71" t="s">
        <v>825</v>
      </c>
      <c r="I611" s="67" t="s">
        <v>3408</v>
      </c>
      <c r="J611" s="73" t="s">
        <v>270</v>
      </c>
      <c r="K611" s="4">
        <v>1996250</v>
      </c>
      <c r="L611" s="41">
        <v>78.269000000000005</v>
      </c>
      <c r="M611" s="4">
        <v>1565380</v>
      </c>
      <c r="N611" s="4">
        <v>2000000</v>
      </c>
      <c r="O611" s="4">
        <v>1565380</v>
      </c>
      <c r="P611" s="4">
        <v>-431307</v>
      </c>
      <c r="Q611" s="4">
        <v>346</v>
      </c>
      <c r="R611" s="4">
        <v>0</v>
      </c>
      <c r="S611" s="4">
        <v>0</v>
      </c>
      <c r="T611" s="23">
        <v>3.875</v>
      </c>
      <c r="U611" s="23">
        <v>3.8969999999999998</v>
      </c>
      <c r="V611" s="5" t="s">
        <v>3895</v>
      </c>
      <c r="W611" s="4">
        <v>16361</v>
      </c>
      <c r="X611" s="4">
        <v>82021</v>
      </c>
      <c r="Y611" s="14">
        <v>44475</v>
      </c>
      <c r="Z611" s="14">
        <v>48136</v>
      </c>
      <c r="AA611" s="2"/>
      <c r="AB611" s="69" t="s">
        <v>3892</v>
      </c>
      <c r="AC611" s="5" t="s">
        <v>4178</v>
      </c>
      <c r="AD611" s="2"/>
      <c r="AE611" s="14">
        <v>46310</v>
      </c>
      <c r="AF611" s="23">
        <v>101.938</v>
      </c>
      <c r="AG611" s="10"/>
      <c r="AH611" s="5" t="s">
        <v>2607</v>
      </c>
      <c r="AI611" s="5" t="s">
        <v>3213</v>
      </c>
      <c r="AJ611" s="5" t="s">
        <v>824</v>
      </c>
      <c r="AK611" s="21" t="s">
        <v>2</v>
      </c>
      <c r="AL611" s="72" t="s">
        <v>3894</v>
      </c>
      <c r="AM611" s="54" t="s">
        <v>4179</v>
      </c>
      <c r="AN611" s="34" t="s">
        <v>863</v>
      </c>
    </row>
    <row r="612" spans="2:40" x14ac:dyDescent="0.3">
      <c r="B612" s="18" t="s">
        <v>2069</v>
      </c>
      <c r="C612" s="47" t="s">
        <v>1269</v>
      </c>
      <c r="D612" s="15" t="s">
        <v>362</v>
      </c>
      <c r="E612" s="68" t="s">
        <v>2</v>
      </c>
      <c r="F612" s="55" t="s">
        <v>2</v>
      </c>
      <c r="G612" s="40" t="s">
        <v>2745</v>
      </c>
      <c r="H612" s="71" t="s">
        <v>3894</v>
      </c>
      <c r="I612" s="67" t="s">
        <v>8</v>
      </c>
      <c r="J612" s="73" t="s">
        <v>270</v>
      </c>
      <c r="K612" s="4">
        <v>4942250</v>
      </c>
      <c r="L612" s="41">
        <v>85.064999999999998</v>
      </c>
      <c r="M612" s="4">
        <v>4253250</v>
      </c>
      <c r="N612" s="4">
        <v>5000000</v>
      </c>
      <c r="O612" s="4">
        <v>4947823</v>
      </c>
      <c r="P612" s="4">
        <v>0</v>
      </c>
      <c r="Q612" s="4">
        <v>5573</v>
      </c>
      <c r="R612" s="4">
        <v>0</v>
      </c>
      <c r="S612" s="4">
        <v>0</v>
      </c>
      <c r="T612" s="23">
        <v>3</v>
      </c>
      <c r="U612" s="23">
        <v>3.1589999999999998</v>
      </c>
      <c r="V612" s="5" t="s">
        <v>3898</v>
      </c>
      <c r="W612" s="4">
        <v>12500</v>
      </c>
      <c r="X612" s="4">
        <v>150000</v>
      </c>
      <c r="Y612" s="14">
        <v>44602</v>
      </c>
      <c r="Z612" s="14">
        <v>47635</v>
      </c>
      <c r="AA612" s="2"/>
      <c r="AB612" s="69" t="s">
        <v>3892</v>
      </c>
      <c r="AC612" s="5" t="s">
        <v>4178</v>
      </c>
      <c r="AD612" s="2"/>
      <c r="AE612" s="14">
        <v>47543</v>
      </c>
      <c r="AF612" s="23">
        <v>100</v>
      </c>
      <c r="AG612" s="6"/>
      <c r="AH612" s="5" t="s">
        <v>609</v>
      </c>
      <c r="AI612" s="5" t="s">
        <v>362</v>
      </c>
      <c r="AJ612" s="5" t="s">
        <v>2</v>
      </c>
      <c r="AK612" s="21" t="s">
        <v>2</v>
      </c>
      <c r="AL612" s="72" t="s">
        <v>3894</v>
      </c>
      <c r="AM612" s="54" t="s">
        <v>4179</v>
      </c>
      <c r="AN612" s="34" t="s">
        <v>1189</v>
      </c>
    </row>
    <row r="613" spans="2:40" x14ac:dyDescent="0.3">
      <c r="B613" s="18" t="s">
        <v>3214</v>
      </c>
      <c r="C613" s="47" t="s">
        <v>4348</v>
      </c>
      <c r="D613" s="15" t="s">
        <v>1270</v>
      </c>
      <c r="E613" s="68" t="s">
        <v>2</v>
      </c>
      <c r="F613" s="55" t="s">
        <v>2</v>
      </c>
      <c r="G613" s="40" t="s">
        <v>2745</v>
      </c>
      <c r="H613" s="71" t="s">
        <v>2745</v>
      </c>
      <c r="I613" s="67" t="s">
        <v>1414</v>
      </c>
      <c r="J613" s="73" t="s">
        <v>270</v>
      </c>
      <c r="K613" s="4">
        <v>3998080</v>
      </c>
      <c r="L613" s="41">
        <v>84.953999999999994</v>
      </c>
      <c r="M613" s="4">
        <v>3398160</v>
      </c>
      <c r="N613" s="4">
        <v>4000000</v>
      </c>
      <c r="O613" s="4">
        <v>3998473</v>
      </c>
      <c r="P613" s="4">
        <v>0</v>
      </c>
      <c r="Q613" s="4">
        <v>299</v>
      </c>
      <c r="R613" s="4">
        <v>0</v>
      </c>
      <c r="S613" s="4">
        <v>0</v>
      </c>
      <c r="T613" s="23">
        <v>1.75</v>
      </c>
      <c r="U613" s="23">
        <v>1.7569999999999999</v>
      </c>
      <c r="V613" s="5" t="s">
        <v>3895</v>
      </c>
      <c r="W613" s="4">
        <v>14778</v>
      </c>
      <c r="X613" s="4">
        <v>80111</v>
      </c>
      <c r="Y613" s="14">
        <v>44417</v>
      </c>
      <c r="Z613" s="14">
        <v>47041</v>
      </c>
      <c r="AA613" s="2"/>
      <c r="AB613" s="69" t="s">
        <v>3892</v>
      </c>
      <c r="AC613" s="5" t="s">
        <v>4178</v>
      </c>
      <c r="AD613" s="2"/>
      <c r="AE613" s="14">
        <v>46980</v>
      </c>
      <c r="AF613" s="23">
        <v>100</v>
      </c>
      <c r="AG613" s="6"/>
      <c r="AH613" s="5" t="s">
        <v>1752</v>
      </c>
      <c r="AI613" s="5" t="s">
        <v>2070</v>
      </c>
      <c r="AJ613" s="5" t="s">
        <v>2070</v>
      </c>
      <c r="AK613" s="21" t="s">
        <v>2</v>
      </c>
      <c r="AL613" s="72" t="s">
        <v>3894</v>
      </c>
      <c r="AM613" s="54" t="s">
        <v>4179</v>
      </c>
      <c r="AN613" s="34" t="s">
        <v>512</v>
      </c>
    </row>
    <row r="614" spans="2:40" x14ac:dyDescent="0.3">
      <c r="B614" s="18" t="s">
        <v>4349</v>
      </c>
      <c r="C614" s="47" t="s">
        <v>2873</v>
      </c>
      <c r="D614" s="15" t="s">
        <v>954</v>
      </c>
      <c r="E614" s="68" t="s">
        <v>2</v>
      </c>
      <c r="F614" s="55" t="s">
        <v>2</v>
      </c>
      <c r="G614" s="40" t="s">
        <v>2745</v>
      </c>
      <c r="H614" s="71" t="s">
        <v>2745</v>
      </c>
      <c r="I614" s="67" t="s">
        <v>3660</v>
      </c>
      <c r="J614" s="73" t="s">
        <v>270</v>
      </c>
      <c r="K614" s="4">
        <v>4987800</v>
      </c>
      <c r="L614" s="41">
        <v>98.147999999999996</v>
      </c>
      <c r="M614" s="4">
        <v>4907400</v>
      </c>
      <c r="N614" s="4">
        <v>5000000</v>
      </c>
      <c r="O614" s="4">
        <v>4997280</v>
      </c>
      <c r="P614" s="4">
        <v>0</v>
      </c>
      <c r="Q614" s="4">
        <v>2349</v>
      </c>
      <c r="R614" s="4">
        <v>0</v>
      </c>
      <c r="S614" s="4">
        <v>0</v>
      </c>
      <c r="T614" s="23">
        <v>3.25</v>
      </c>
      <c r="U614" s="23">
        <v>3.3</v>
      </c>
      <c r="V614" s="5" t="s">
        <v>268</v>
      </c>
      <c r="W614" s="4">
        <v>61840</v>
      </c>
      <c r="X614" s="4">
        <v>162500</v>
      </c>
      <c r="Y614" s="14">
        <v>43354</v>
      </c>
      <c r="Z614" s="14">
        <v>45336</v>
      </c>
      <c r="AA614" s="2"/>
      <c r="AB614" s="69" t="s">
        <v>3892</v>
      </c>
      <c r="AC614" s="5" t="s">
        <v>4178</v>
      </c>
      <c r="AD614" s="2"/>
      <c r="AE614" s="9">
        <v>45305</v>
      </c>
      <c r="AF614" s="23">
        <v>100</v>
      </c>
      <c r="AG614" s="6"/>
      <c r="AH614" s="5" t="s">
        <v>1753</v>
      </c>
      <c r="AI614" s="5" t="s">
        <v>954</v>
      </c>
      <c r="AJ614" s="5" t="s">
        <v>2</v>
      </c>
      <c r="AK614" s="21" t="s">
        <v>2</v>
      </c>
      <c r="AL614" s="72" t="s">
        <v>3894</v>
      </c>
      <c r="AM614" s="54" t="s">
        <v>4179</v>
      </c>
      <c r="AN614" s="34" t="s">
        <v>1170</v>
      </c>
    </row>
    <row r="615" spans="2:40" x14ac:dyDescent="0.3">
      <c r="B615" s="18" t="s">
        <v>955</v>
      </c>
      <c r="C615" s="47" t="s">
        <v>2608</v>
      </c>
      <c r="D615" s="15" t="s">
        <v>4007</v>
      </c>
      <c r="E615" s="68" t="s">
        <v>2</v>
      </c>
      <c r="F615" s="55" t="s">
        <v>2</v>
      </c>
      <c r="G615" s="40" t="s">
        <v>2745</v>
      </c>
      <c r="H615" s="71" t="s">
        <v>2745</v>
      </c>
      <c r="I615" s="67" t="s">
        <v>3660</v>
      </c>
      <c r="J615" s="73" t="s">
        <v>270</v>
      </c>
      <c r="K615" s="4">
        <v>3401650</v>
      </c>
      <c r="L615" s="41">
        <v>97.41</v>
      </c>
      <c r="M615" s="4">
        <v>3409350</v>
      </c>
      <c r="N615" s="4">
        <v>3500000</v>
      </c>
      <c r="O615" s="4">
        <v>3476348</v>
      </c>
      <c r="P615" s="4">
        <v>0</v>
      </c>
      <c r="Q615" s="4">
        <v>17585</v>
      </c>
      <c r="R615" s="4">
        <v>0</v>
      </c>
      <c r="S615" s="4">
        <v>0</v>
      </c>
      <c r="T615" s="23">
        <v>2.9</v>
      </c>
      <c r="U615" s="23">
        <v>3.4390000000000001</v>
      </c>
      <c r="V615" s="5" t="s">
        <v>3895</v>
      </c>
      <c r="W615" s="4">
        <v>20864</v>
      </c>
      <c r="X615" s="4">
        <v>101500</v>
      </c>
      <c r="Y615" s="14">
        <v>43278</v>
      </c>
      <c r="Z615" s="14">
        <v>45399</v>
      </c>
      <c r="AA615" s="2"/>
      <c r="AB615" s="69" t="s">
        <v>3892</v>
      </c>
      <c r="AC615" s="5" t="s">
        <v>4178</v>
      </c>
      <c r="AD615" s="2"/>
      <c r="AE615" s="6"/>
      <c r="AF615" s="23"/>
      <c r="AG615" s="6"/>
      <c r="AH615" s="5" t="s">
        <v>610</v>
      </c>
      <c r="AI615" s="5" t="s">
        <v>4007</v>
      </c>
      <c r="AJ615" s="5" t="s">
        <v>2</v>
      </c>
      <c r="AK615" s="21" t="s">
        <v>2</v>
      </c>
      <c r="AL615" s="72" t="s">
        <v>3894</v>
      </c>
      <c r="AM615" s="54" t="s">
        <v>4179</v>
      </c>
      <c r="AN615" s="34" t="s">
        <v>1170</v>
      </c>
    </row>
    <row r="616" spans="2:40" x14ac:dyDescent="0.3">
      <c r="B616" s="18" t="s">
        <v>2874</v>
      </c>
      <c r="C616" s="47" t="s">
        <v>2396</v>
      </c>
      <c r="D616" s="15" t="s">
        <v>4007</v>
      </c>
      <c r="E616" s="68" t="s">
        <v>2</v>
      </c>
      <c r="F616" s="55" t="s">
        <v>2</v>
      </c>
      <c r="G616" s="40" t="s">
        <v>2745</v>
      </c>
      <c r="H616" s="71" t="s">
        <v>2745</v>
      </c>
      <c r="I616" s="67" t="s">
        <v>3660</v>
      </c>
      <c r="J616" s="73" t="s">
        <v>270</v>
      </c>
      <c r="K616" s="4">
        <v>4997650</v>
      </c>
      <c r="L616" s="41">
        <v>85.393000000000001</v>
      </c>
      <c r="M616" s="4">
        <v>4269650</v>
      </c>
      <c r="N616" s="4">
        <v>5000000</v>
      </c>
      <c r="O616" s="4">
        <v>4998428</v>
      </c>
      <c r="P616" s="4">
        <v>0</v>
      </c>
      <c r="Q616" s="4">
        <v>330</v>
      </c>
      <c r="R616" s="4">
        <v>0</v>
      </c>
      <c r="S616" s="4">
        <v>0</v>
      </c>
      <c r="T616" s="23">
        <v>1.1499999999999999</v>
      </c>
      <c r="U616" s="23">
        <v>1.157</v>
      </c>
      <c r="V616" s="5" t="s">
        <v>268</v>
      </c>
      <c r="W616" s="4">
        <v>22042</v>
      </c>
      <c r="X616" s="4">
        <v>57500</v>
      </c>
      <c r="Y616" s="14">
        <v>44054</v>
      </c>
      <c r="Z616" s="14">
        <v>46612</v>
      </c>
      <c r="AA616" s="2"/>
      <c r="AB616" s="69" t="s">
        <v>3892</v>
      </c>
      <c r="AC616" s="5" t="s">
        <v>4178</v>
      </c>
      <c r="AD616" s="2"/>
      <c r="AE616" s="10"/>
      <c r="AF616" s="23"/>
      <c r="AG616" s="6"/>
      <c r="AH616" s="5" t="s">
        <v>610</v>
      </c>
      <c r="AI616" s="5" t="s">
        <v>4007</v>
      </c>
      <c r="AJ616" s="5" t="s">
        <v>2</v>
      </c>
      <c r="AK616" s="21" t="s">
        <v>2</v>
      </c>
      <c r="AL616" s="72" t="s">
        <v>3894</v>
      </c>
      <c r="AM616" s="54" t="s">
        <v>4179</v>
      </c>
      <c r="AN616" s="34" t="s">
        <v>1170</v>
      </c>
    </row>
    <row r="617" spans="2:40" x14ac:dyDescent="0.3">
      <c r="B617" s="18" t="s">
        <v>4008</v>
      </c>
      <c r="C617" s="47" t="s">
        <v>115</v>
      </c>
      <c r="D617" s="15" t="s">
        <v>3924</v>
      </c>
      <c r="E617" s="68" t="s">
        <v>2</v>
      </c>
      <c r="F617" s="55" t="s">
        <v>2</v>
      </c>
      <c r="G617" s="40" t="s">
        <v>3894</v>
      </c>
      <c r="H617" s="71" t="s">
        <v>2745</v>
      </c>
      <c r="I617" s="67" t="s">
        <v>1414</v>
      </c>
      <c r="J617" s="73" t="s">
        <v>270</v>
      </c>
      <c r="K617" s="4">
        <v>3995760</v>
      </c>
      <c r="L617" s="41">
        <v>91.5</v>
      </c>
      <c r="M617" s="4">
        <v>3660000</v>
      </c>
      <c r="N617" s="4">
        <v>4000000</v>
      </c>
      <c r="O617" s="4">
        <v>3997854</v>
      </c>
      <c r="P617" s="4">
        <v>0</v>
      </c>
      <c r="Q617" s="4">
        <v>809</v>
      </c>
      <c r="R617" s="4">
        <v>0</v>
      </c>
      <c r="S617" s="4">
        <v>0</v>
      </c>
      <c r="T617" s="23">
        <v>1.2</v>
      </c>
      <c r="U617" s="23">
        <v>1.2210000000000001</v>
      </c>
      <c r="V617" s="5" t="s">
        <v>268</v>
      </c>
      <c r="W617" s="4">
        <v>19467</v>
      </c>
      <c r="X617" s="4">
        <v>48000</v>
      </c>
      <c r="Y617" s="14">
        <v>43984</v>
      </c>
      <c r="Z617" s="14">
        <v>45874</v>
      </c>
      <c r="AA617" s="2"/>
      <c r="AB617" s="69" t="s">
        <v>3892</v>
      </c>
      <c r="AC617" s="5" t="s">
        <v>4178</v>
      </c>
      <c r="AD617" s="2"/>
      <c r="AE617" s="9">
        <v>45841</v>
      </c>
      <c r="AF617" s="23">
        <v>100</v>
      </c>
      <c r="AG617" s="6"/>
      <c r="AH617" s="5" t="s">
        <v>3089</v>
      </c>
      <c r="AI617" s="5" t="s">
        <v>3924</v>
      </c>
      <c r="AJ617" s="5" t="s">
        <v>2</v>
      </c>
      <c r="AK617" s="21" t="s">
        <v>2</v>
      </c>
      <c r="AL617" s="72" t="s">
        <v>3894</v>
      </c>
      <c r="AM617" s="54" t="s">
        <v>4179</v>
      </c>
      <c r="AN617" s="34" t="s">
        <v>512</v>
      </c>
    </row>
    <row r="618" spans="2:40" x14ac:dyDescent="0.3">
      <c r="B618" s="18" t="s">
        <v>611</v>
      </c>
      <c r="C618" s="47" t="s">
        <v>2397</v>
      </c>
      <c r="D618" s="15" t="s">
        <v>3924</v>
      </c>
      <c r="E618" s="68" t="s">
        <v>2</v>
      </c>
      <c r="F618" s="55" t="s">
        <v>2</v>
      </c>
      <c r="G618" s="40" t="s">
        <v>3894</v>
      </c>
      <c r="H618" s="71" t="s">
        <v>2745</v>
      </c>
      <c r="I618" s="67" t="s">
        <v>1414</v>
      </c>
      <c r="J618" s="73" t="s">
        <v>270</v>
      </c>
      <c r="K618" s="4">
        <v>5000000</v>
      </c>
      <c r="L618" s="41">
        <v>84.212000000000003</v>
      </c>
      <c r="M618" s="4">
        <v>4210600</v>
      </c>
      <c r="N618" s="4">
        <v>5000000</v>
      </c>
      <c r="O618" s="4">
        <v>4999997</v>
      </c>
      <c r="P618" s="4">
        <v>0</v>
      </c>
      <c r="Q618" s="4">
        <v>-2</v>
      </c>
      <c r="R618" s="4">
        <v>0</v>
      </c>
      <c r="S618" s="4">
        <v>0</v>
      </c>
      <c r="T618" s="23">
        <v>1.887</v>
      </c>
      <c r="U618" s="23">
        <v>1.887</v>
      </c>
      <c r="V618" s="5" t="s">
        <v>3898</v>
      </c>
      <c r="W618" s="4">
        <v>6290</v>
      </c>
      <c r="X618" s="4">
        <v>94350</v>
      </c>
      <c r="Y618" s="14">
        <v>44349</v>
      </c>
      <c r="Z618" s="14">
        <v>47276</v>
      </c>
      <c r="AA618" s="2"/>
      <c r="AB618" s="69" t="s">
        <v>3892</v>
      </c>
      <c r="AC618" s="5" t="s">
        <v>4178</v>
      </c>
      <c r="AD618" s="2"/>
      <c r="AE618" s="14">
        <v>46911</v>
      </c>
      <c r="AF618" s="23">
        <v>100</v>
      </c>
      <c r="AG618" s="6"/>
      <c r="AH618" s="5" t="s">
        <v>3089</v>
      </c>
      <c r="AI618" s="5" t="s">
        <v>3924</v>
      </c>
      <c r="AJ618" s="5" t="s">
        <v>2</v>
      </c>
      <c r="AK618" s="21" t="s">
        <v>2</v>
      </c>
      <c r="AL618" s="72" t="s">
        <v>3894</v>
      </c>
      <c r="AM618" s="54" t="s">
        <v>4179</v>
      </c>
      <c r="AN618" s="34" t="s">
        <v>512</v>
      </c>
    </row>
    <row r="619" spans="2:40" x14ac:dyDescent="0.3">
      <c r="B619" s="18" t="s">
        <v>1754</v>
      </c>
      <c r="C619" s="47" t="s">
        <v>3736</v>
      </c>
      <c r="D619" s="15" t="s">
        <v>3924</v>
      </c>
      <c r="E619" s="68" t="s">
        <v>2</v>
      </c>
      <c r="F619" s="55" t="s">
        <v>2</v>
      </c>
      <c r="G619" s="40" t="s">
        <v>2745</v>
      </c>
      <c r="H619" s="71" t="s">
        <v>2745</v>
      </c>
      <c r="I619" s="67" t="s">
        <v>1414</v>
      </c>
      <c r="J619" s="73" t="s">
        <v>270</v>
      </c>
      <c r="K619" s="4">
        <v>4800000</v>
      </c>
      <c r="L619" s="41">
        <v>95.778000000000006</v>
      </c>
      <c r="M619" s="4">
        <v>4597344</v>
      </c>
      <c r="N619" s="4">
        <v>4800000</v>
      </c>
      <c r="O619" s="4">
        <v>4800000</v>
      </c>
      <c r="P619" s="4">
        <v>0</v>
      </c>
      <c r="Q619" s="4">
        <v>0</v>
      </c>
      <c r="R619" s="4">
        <v>0</v>
      </c>
      <c r="S619" s="4">
        <v>0</v>
      </c>
      <c r="T619" s="23">
        <v>4.1230000000000002</v>
      </c>
      <c r="U619" s="23">
        <v>3.7559999999999998</v>
      </c>
      <c r="V619" s="5" t="s">
        <v>3898</v>
      </c>
      <c r="W619" s="4">
        <v>13743</v>
      </c>
      <c r="X619" s="4">
        <v>98952</v>
      </c>
      <c r="Y619" s="14">
        <v>44713</v>
      </c>
      <c r="Z619" s="14">
        <v>46910</v>
      </c>
      <c r="AA619" s="2"/>
      <c r="AB619" s="69" t="s">
        <v>3892</v>
      </c>
      <c r="AC619" s="5" t="s">
        <v>4178</v>
      </c>
      <c r="AD619" s="2"/>
      <c r="AE619" s="14">
        <v>46544</v>
      </c>
      <c r="AF619" s="23">
        <v>100</v>
      </c>
      <c r="AG619" s="6"/>
      <c r="AH619" s="5" t="s">
        <v>3089</v>
      </c>
      <c r="AI619" s="5" t="s">
        <v>3924</v>
      </c>
      <c r="AJ619" s="5" t="s">
        <v>2</v>
      </c>
      <c r="AK619" s="21" t="s">
        <v>2</v>
      </c>
      <c r="AL619" s="72" t="s">
        <v>3894</v>
      </c>
      <c r="AM619" s="54" t="s">
        <v>4179</v>
      </c>
      <c r="AN619" s="34" t="s">
        <v>512</v>
      </c>
    </row>
    <row r="620" spans="2:40" x14ac:dyDescent="0.3">
      <c r="B620" s="18" t="s">
        <v>3215</v>
      </c>
      <c r="C620" s="47" t="s">
        <v>2609</v>
      </c>
      <c r="D620" s="15" t="s">
        <v>4009</v>
      </c>
      <c r="E620" s="68" t="s">
        <v>2</v>
      </c>
      <c r="F620" s="55" t="s">
        <v>2</v>
      </c>
      <c r="G620" s="40" t="s">
        <v>2</v>
      </c>
      <c r="H620" s="71" t="s">
        <v>2745</v>
      </c>
      <c r="I620" s="67" t="s">
        <v>287</v>
      </c>
      <c r="J620" s="73" t="s">
        <v>2</v>
      </c>
      <c r="K620" s="4">
        <v>8000000</v>
      </c>
      <c r="L620" s="41">
        <v>88.337999999999994</v>
      </c>
      <c r="M620" s="4">
        <v>7067040</v>
      </c>
      <c r="N620" s="4">
        <v>8000000</v>
      </c>
      <c r="O620" s="4">
        <v>8000000</v>
      </c>
      <c r="P620" s="4">
        <v>0</v>
      </c>
      <c r="Q620" s="4">
        <v>0</v>
      </c>
      <c r="R620" s="4">
        <v>0</v>
      </c>
      <c r="S620" s="4">
        <v>0</v>
      </c>
      <c r="T620" s="23">
        <v>1.59</v>
      </c>
      <c r="U620" s="23">
        <v>1.59</v>
      </c>
      <c r="V620" s="5" t="s">
        <v>3898</v>
      </c>
      <c r="W620" s="4">
        <v>5653</v>
      </c>
      <c r="X620" s="4">
        <v>127200</v>
      </c>
      <c r="Y620" s="14">
        <v>44362</v>
      </c>
      <c r="Z620" s="14">
        <v>46188</v>
      </c>
      <c r="AA620" s="2"/>
      <c r="AB620" s="69" t="s">
        <v>1671</v>
      </c>
      <c r="AC620" s="5" t="s">
        <v>2</v>
      </c>
      <c r="AD620" s="2"/>
      <c r="AE620" s="6"/>
      <c r="AF620" s="23"/>
      <c r="AG620" s="6"/>
      <c r="AH620" s="5" t="s">
        <v>2</v>
      </c>
      <c r="AI620" s="5" t="s">
        <v>2610</v>
      </c>
      <c r="AJ620" s="5" t="s">
        <v>2071</v>
      </c>
      <c r="AK620" s="21" t="s">
        <v>2</v>
      </c>
      <c r="AL620" s="72" t="s">
        <v>3894</v>
      </c>
      <c r="AM620" s="54" t="s">
        <v>4179</v>
      </c>
      <c r="AN620" s="34" t="s">
        <v>3946</v>
      </c>
    </row>
    <row r="621" spans="2:40" x14ac:dyDescent="0.3">
      <c r="B621" s="18" t="s">
        <v>4350</v>
      </c>
      <c r="C621" s="47" t="s">
        <v>363</v>
      </c>
      <c r="D621" s="15" t="s">
        <v>4009</v>
      </c>
      <c r="E621" s="68" t="s">
        <v>2</v>
      </c>
      <c r="F621" s="55" t="s">
        <v>2</v>
      </c>
      <c r="G621" s="40" t="s">
        <v>2</v>
      </c>
      <c r="H621" s="71" t="s">
        <v>2745</v>
      </c>
      <c r="I621" s="67" t="s">
        <v>287</v>
      </c>
      <c r="J621" s="73" t="s">
        <v>2</v>
      </c>
      <c r="K621" s="4">
        <v>2000000</v>
      </c>
      <c r="L621" s="41">
        <v>87.825000000000003</v>
      </c>
      <c r="M621" s="4">
        <v>1756500</v>
      </c>
      <c r="N621" s="4">
        <v>2000000</v>
      </c>
      <c r="O621" s="4">
        <v>2000000</v>
      </c>
      <c r="P621" s="4">
        <v>0</v>
      </c>
      <c r="Q621" s="4">
        <v>0</v>
      </c>
      <c r="R621" s="4">
        <v>0</v>
      </c>
      <c r="S621" s="4">
        <v>0</v>
      </c>
      <c r="T621" s="23">
        <v>1.64</v>
      </c>
      <c r="U621" s="23">
        <v>1.64</v>
      </c>
      <c r="V621" s="5" t="s">
        <v>10</v>
      </c>
      <c r="W621" s="4">
        <v>9658</v>
      </c>
      <c r="X621" s="4">
        <v>32800</v>
      </c>
      <c r="Y621" s="14">
        <v>44454</v>
      </c>
      <c r="Z621" s="14">
        <v>46280</v>
      </c>
      <c r="AA621" s="2"/>
      <c r="AB621" s="69" t="s">
        <v>1671</v>
      </c>
      <c r="AC621" s="5" t="s">
        <v>2</v>
      </c>
      <c r="AD621" s="2"/>
      <c r="AE621" s="6"/>
      <c r="AF621" s="23"/>
      <c r="AG621" s="6"/>
      <c r="AH621" s="5" t="s">
        <v>2</v>
      </c>
      <c r="AI621" s="5" t="s">
        <v>2610</v>
      </c>
      <c r="AJ621" s="5" t="s">
        <v>2071</v>
      </c>
      <c r="AK621" s="21" t="s">
        <v>2</v>
      </c>
      <c r="AL621" s="72" t="s">
        <v>3894</v>
      </c>
      <c r="AM621" s="54" t="s">
        <v>4179</v>
      </c>
      <c r="AN621" s="34" t="s">
        <v>3946</v>
      </c>
    </row>
    <row r="622" spans="2:40" x14ac:dyDescent="0.3">
      <c r="B622" s="18" t="s">
        <v>956</v>
      </c>
      <c r="C622" s="47" t="s">
        <v>3516</v>
      </c>
      <c r="D622" s="15" t="s">
        <v>364</v>
      </c>
      <c r="E622" s="68" t="s">
        <v>2</v>
      </c>
      <c r="F622" s="55" t="s">
        <v>2</v>
      </c>
      <c r="G622" s="40" t="s">
        <v>3894</v>
      </c>
      <c r="H622" s="71" t="s">
        <v>2745</v>
      </c>
      <c r="I622" s="67" t="s">
        <v>3660</v>
      </c>
      <c r="J622" s="73" t="s">
        <v>270</v>
      </c>
      <c r="K622" s="4">
        <v>954690</v>
      </c>
      <c r="L622" s="41">
        <v>96.388999999999996</v>
      </c>
      <c r="M622" s="4">
        <v>963890</v>
      </c>
      <c r="N622" s="4">
        <v>1000000</v>
      </c>
      <c r="O622" s="4">
        <v>984561</v>
      </c>
      <c r="P622" s="4">
        <v>0</v>
      </c>
      <c r="Q622" s="4">
        <v>7056</v>
      </c>
      <c r="R622" s="4">
        <v>0</v>
      </c>
      <c r="S622" s="4">
        <v>0</v>
      </c>
      <c r="T622" s="23">
        <v>2.8</v>
      </c>
      <c r="U622" s="23">
        <v>3.58</v>
      </c>
      <c r="V622" s="5" t="s">
        <v>1916</v>
      </c>
      <c r="W622" s="4">
        <v>11978</v>
      </c>
      <c r="X622" s="4">
        <v>28000</v>
      </c>
      <c r="Y622" s="14">
        <v>43278</v>
      </c>
      <c r="Z622" s="14">
        <v>45684</v>
      </c>
      <c r="AA622" s="2"/>
      <c r="AB622" s="69" t="s">
        <v>3892</v>
      </c>
      <c r="AC622" s="5" t="s">
        <v>4178</v>
      </c>
      <c r="AD622" s="2"/>
      <c r="AE622" s="9">
        <v>45653</v>
      </c>
      <c r="AF622" s="23">
        <v>100</v>
      </c>
      <c r="AG622" s="6"/>
      <c r="AH622" s="5" t="s">
        <v>957</v>
      </c>
      <c r="AI622" s="5" t="s">
        <v>3517</v>
      </c>
      <c r="AJ622" s="5" t="s">
        <v>2398</v>
      </c>
      <c r="AK622" s="21" t="s">
        <v>2</v>
      </c>
      <c r="AL622" s="72" t="s">
        <v>3894</v>
      </c>
      <c r="AM622" s="54" t="s">
        <v>4179</v>
      </c>
      <c r="AN622" s="34" t="s">
        <v>1170</v>
      </c>
    </row>
    <row r="623" spans="2:40" x14ac:dyDescent="0.3">
      <c r="B623" s="18" t="s">
        <v>2072</v>
      </c>
      <c r="C623" s="47" t="s">
        <v>116</v>
      </c>
      <c r="D623" s="15" t="s">
        <v>3737</v>
      </c>
      <c r="E623" s="68" t="s">
        <v>2</v>
      </c>
      <c r="F623" s="55" t="s">
        <v>2</v>
      </c>
      <c r="G623" s="40" t="s">
        <v>3894</v>
      </c>
      <c r="H623" s="71" t="s">
        <v>2745</v>
      </c>
      <c r="I623" s="67" t="s">
        <v>3660</v>
      </c>
      <c r="J623" s="73" t="s">
        <v>270</v>
      </c>
      <c r="K623" s="4">
        <v>4989350</v>
      </c>
      <c r="L623" s="41">
        <v>94.79</v>
      </c>
      <c r="M623" s="4">
        <v>4739500</v>
      </c>
      <c r="N623" s="4">
        <v>5000000</v>
      </c>
      <c r="O623" s="4">
        <v>4995487</v>
      </c>
      <c r="P623" s="4">
        <v>0</v>
      </c>
      <c r="Q623" s="4">
        <v>2127</v>
      </c>
      <c r="R623" s="4">
        <v>0</v>
      </c>
      <c r="S623" s="4">
        <v>0</v>
      </c>
      <c r="T623" s="23">
        <v>2.0499999999999998</v>
      </c>
      <c r="U623" s="23">
        <v>2.0950000000000002</v>
      </c>
      <c r="V623" s="5" t="s">
        <v>1916</v>
      </c>
      <c r="W623" s="4">
        <v>45556</v>
      </c>
      <c r="X623" s="4">
        <v>102500</v>
      </c>
      <c r="Y623" s="14">
        <v>43846</v>
      </c>
      <c r="Z623" s="14">
        <v>45678</v>
      </c>
      <c r="AA623" s="2"/>
      <c r="AB623" s="69" t="s">
        <v>3892</v>
      </c>
      <c r="AC623" s="5" t="s">
        <v>4178</v>
      </c>
      <c r="AD623" s="2"/>
      <c r="AE623" s="14">
        <v>45646</v>
      </c>
      <c r="AF623" s="23">
        <v>100</v>
      </c>
      <c r="AG623" s="10"/>
      <c r="AH623" s="5" t="s">
        <v>957</v>
      </c>
      <c r="AI623" s="5" t="s">
        <v>3517</v>
      </c>
      <c r="AJ623" s="5" t="s">
        <v>4010</v>
      </c>
      <c r="AK623" s="21" t="s">
        <v>2</v>
      </c>
      <c r="AL623" s="72" t="s">
        <v>3894</v>
      </c>
      <c r="AM623" s="54" t="s">
        <v>4179</v>
      </c>
      <c r="AN623" s="34" t="s">
        <v>1170</v>
      </c>
    </row>
    <row r="624" spans="2:40" x14ac:dyDescent="0.3">
      <c r="B624" s="18" t="s">
        <v>3216</v>
      </c>
      <c r="C624" s="47" t="s">
        <v>4011</v>
      </c>
      <c r="D624" s="15" t="s">
        <v>1755</v>
      </c>
      <c r="E624" s="68" t="s">
        <v>2</v>
      </c>
      <c r="F624" s="55" t="s">
        <v>2</v>
      </c>
      <c r="G624" s="40" t="s">
        <v>2745</v>
      </c>
      <c r="H624" s="71" t="s">
        <v>2745</v>
      </c>
      <c r="I624" s="67" t="s">
        <v>3660</v>
      </c>
      <c r="J624" s="73" t="s">
        <v>270</v>
      </c>
      <c r="K624" s="4">
        <v>3089850</v>
      </c>
      <c r="L624" s="41">
        <v>97.07</v>
      </c>
      <c r="M624" s="4">
        <v>2912100</v>
      </c>
      <c r="N624" s="4">
        <v>3000000</v>
      </c>
      <c r="O624" s="4">
        <v>3024305</v>
      </c>
      <c r="P624" s="4">
        <v>0</v>
      </c>
      <c r="Q624" s="4">
        <v>-20188</v>
      </c>
      <c r="R624" s="4">
        <v>0</v>
      </c>
      <c r="S624" s="4">
        <v>0</v>
      </c>
      <c r="T624" s="23">
        <v>2.6</v>
      </c>
      <c r="U624" s="23">
        <v>1.9019999999999999</v>
      </c>
      <c r="V624" s="5" t="s">
        <v>3409</v>
      </c>
      <c r="W624" s="4">
        <v>12133</v>
      </c>
      <c r="X624" s="4">
        <v>78000</v>
      </c>
      <c r="Y624" s="14">
        <v>43711</v>
      </c>
      <c r="Z624" s="14">
        <v>45417</v>
      </c>
      <c r="AA624" s="2"/>
      <c r="AB624" s="69" t="s">
        <v>3892</v>
      </c>
      <c r="AC624" s="5" t="s">
        <v>4178</v>
      </c>
      <c r="AD624" s="2"/>
      <c r="AE624" s="9">
        <v>45356</v>
      </c>
      <c r="AF624" s="23">
        <v>100</v>
      </c>
      <c r="AG624" s="9">
        <v>45356</v>
      </c>
      <c r="AH624" s="5" t="s">
        <v>958</v>
      </c>
      <c r="AI624" s="5" t="s">
        <v>1755</v>
      </c>
      <c r="AJ624" s="5" t="s">
        <v>2</v>
      </c>
      <c r="AK624" s="21" t="s">
        <v>2</v>
      </c>
      <c r="AL624" s="72" t="s">
        <v>3894</v>
      </c>
      <c r="AM624" s="54" t="s">
        <v>4179</v>
      </c>
      <c r="AN624" s="34" t="s">
        <v>1170</v>
      </c>
    </row>
    <row r="625" spans="2:40" x14ac:dyDescent="0.3">
      <c r="B625" s="18" t="s">
        <v>4351</v>
      </c>
      <c r="C625" s="47" t="s">
        <v>117</v>
      </c>
      <c r="D625" s="15" t="s">
        <v>1755</v>
      </c>
      <c r="E625" s="68" t="s">
        <v>2</v>
      </c>
      <c r="F625" s="55" t="s">
        <v>2</v>
      </c>
      <c r="G625" s="40" t="s">
        <v>2745</v>
      </c>
      <c r="H625" s="71" t="s">
        <v>2745</v>
      </c>
      <c r="I625" s="67" t="s">
        <v>3660</v>
      </c>
      <c r="J625" s="73" t="s">
        <v>270</v>
      </c>
      <c r="K625" s="4">
        <v>5117200</v>
      </c>
      <c r="L625" s="41">
        <v>97.403000000000006</v>
      </c>
      <c r="M625" s="4">
        <v>4870150</v>
      </c>
      <c r="N625" s="4">
        <v>5000000</v>
      </c>
      <c r="O625" s="4">
        <v>5043816</v>
      </c>
      <c r="P625" s="4">
        <v>0</v>
      </c>
      <c r="Q625" s="4">
        <v>-20306</v>
      </c>
      <c r="R625" s="4">
        <v>0</v>
      </c>
      <c r="S625" s="4">
        <v>0</v>
      </c>
      <c r="T625" s="23">
        <v>3.375</v>
      </c>
      <c r="U625" s="23">
        <v>2.9340000000000002</v>
      </c>
      <c r="V625" s="5" t="s">
        <v>10</v>
      </c>
      <c r="W625" s="4">
        <v>46406</v>
      </c>
      <c r="X625" s="4">
        <v>168750</v>
      </c>
      <c r="Y625" s="14">
        <v>43551</v>
      </c>
      <c r="Z625" s="14">
        <v>45738</v>
      </c>
      <c r="AA625" s="2"/>
      <c r="AB625" s="69" t="s">
        <v>3892</v>
      </c>
      <c r="AC625" s="5" t="s">
        <v>4178</v>
      </c>
      <c r="AD625" s="2"/>
      <c r="AE625" s="9">
        <v>45679</v>
      </c>
      <c r="AF625" s="23">
        <v>100</v>
      </c>
      <c r="AG625" s="9">
        <v>45679</v>
      </c>
      <c r="AH625" s="5" t="s">
        <v>958</v>
      </c>
      <c r="AI625" s="5" t="s">
        <v>1755</v>
      </c>
      <c r="AJ625" s="5" t="s">
        <v>2</v>
      </c>
      <c r="AK625" s="21" t="s">
        <v>2</v>
      </c>
      <c r="AL625" s="72" t="s">
        <v>3894</v>
      </c>
      <c r="AM625" s="54" t="s">
        <v>4179</v>
      </c>
      <c r="AN625" s="34" t="s">
        <v>1170</v>
      </c>
    </row>
    <row r="626" spans="2:40" x14ac:dyDescent="0.3">
      <c r="B626" s="18" t="s">
        <v>1756</v>
      </c>
      <c r="C626" s="47" t="s">
        <v>1271</v>
      </c>
      <c r="D626" s="15" t="s">
        <v>1755</v>
      </c>
      <c r="E626" s="68" t="s">
        <v>2</v>
      </c>
      <c r="F626" s="55" t="s">
        <v>2</v>
      </c>
      <c r="G626" s="40" t="s">
        <v>2745</v>
      </c>
      <c r="H626" s="71" t="s">
        <v>2745</v>
      </c>
      <c r="I626" s="67" t="s">
        <v>3660</v>
      </c>
      <c r="J626" s="73" t="s">
        <v>270</v>
      </c>
      <c r="K626" s="4">
        <v>7000880</v>
      </c>
      <c r="L626" s="41">
        <v>98.23</v>
      </c>
      <c r="M626" s="4">
        <v>6876100</v>
      </c>
      <c r="N626" s="4">
        <v>7000000</v>
      </c>
      <c r="O626" s="4">
        <v>7000520</v>
      </c>
      <c r="P626" s="4">
        <v>0</v>
      </c>
      <c r="Q626" s="4">
        <v>-997</v>
      </c>
      <c r="R626" s="4">
        <v>0</v>
      </c>
      <c r="S626" s="4">
        <v>0</v>
      </c>
      <c r="T626" s="23">
        <v>3.25</v>
      </c>
      <c r="U626" s="23">
        <v>3.2360000000000002</v>
      </c>
      <c r="V626" s="5" t="s">
        <v>10</v>
      </c>
      <c r="W626" s="4">
        <v>72042</v>
      </c>
      <c r="X626" s="4">
        <v>227500</v>
      </c>
      <c r="Y626" s="14">
        <v>43553</v>
      </c>
      <c r="Z626" s="14">
        <v>45358</v>
      </c>
      <c r="AA626" s="2"/>
      <c r="AB626" s="69" t="s">
        <v>3892</v>
      </c>
      <c r="AC626" s="5" t="s">
        <v>4178</v>
      </c>
      <c r="AD626" s="2"/>
      <c r="AE626" s="14">
        <v>45329</v>
      </c>
      <c r="AF626" s="23">
        <v>100</v>
      </c>
      <c r="AG626" s="9">
        <v>45329</v>
      </c>
      <c r="AH626" s="5" t="s">
        <v>958</v>
      </c>
      <c r="AI626" s="5" t="s">
        <v>1755</v>
      </c>
      <c r="AJ626" s="5" t="s">
        <v>2</v>
      </c>
      <c r="AK626" s="21" t="s">
        <v>2</v>
      </c>
      <c r="AL626" s="72" t="s">
        <v>3894</v>
      </c>
      <c r="AM626" s="54" t="s">
        <v>4179</v>
      </c>
      <c r="AN626" s="34" t="s">
        <v>1170</v>
      </c>
    </row>
    <row r="627" spans="2:40" x14ac:dyDescent="0.3">
      <c r="B627" s="18" t="s">
        <v>2875</v>
      </c>
      <c r="C627" s="47" t="s">
        <v>4012</v>
      </c>
      <c r="D627" s="15" t="s">
        <v>2073</v>
      </c>
      <c r="E627" s="68" t="s">
        <v>2</v>
      </c>
      <c r="F627" s="55" t="s">
        <v>2</v>
      </c>
      <c r="G627" s="40" t="s">
        <v>2745</v>
      </c>
      <c r="H627" s="71" t="s">
        <v>2745</v>
      </c>
      <c r="I627" s="67" t="s">
        <v>1414</v>
      </c>
      <c r="J627" s="73" t="s">
        <v>270</v>
      </c>
      <c r="K627" s="4">
        <v>4999800</v>
      </c>
      <c r="L627" s="41">
        <v>97.350999999999999</v>
      </c>
      <c r="M627" s="4">
        <v>4867550</v>
      </c>
      <c r="N627" s="4">
        <v>5000000</v>
      </c>
      <c r="O627" s="4">
        <v>5000005</v>
      </c>
      <c r="P627" s="4">
        <v>0</v>
      </c>
      <c r="Q627" s="4">
        <v>-2</v>
      </c>
      <c r="R627" s="4">
        <v>0</v>
      </c>
      <c r="S627" s="4">
        <v>0</v>
      </c>
      <c r="T627" s="23">
        <v>3.75</v>
      </c>
      <c r="U627" s="23">
        <v>3.75</v>
      </c>
      <c r="V627" s="5" t="s">
        <v>1916</v>
      </c>
      <c r="W627" s="4">
        <v>86458</v>
      </c>
      <c r="X627" s="4">
        <v>187500</v>
      </c>
      <c r="Y627" s="14">
        <v>43256</v>
      </c>
      <c r="Z627" s="14">
        <v>45853</v>
      </c>
      <c r="AA627" s="2"/>
      <c r="AB627" s="69" t="s">
        <v>3892</v>
      </c>
      <c r="AC627" s="5" t="s">
        <v>4178</v>
      </c>
      <c r="AD627" s="2"/>
      <c r="AE627" s="14">
        <v>45792</v>
      </c>
      <c r="AF627" s="23">
        <v>100</v>
      </c>
      <c r="AG627" s="10"/>
      <c r="AH627" s="5" t="s">
        <v>612</v>
      </c>
      <c r="AI627" s="5" t="s">
        <v>2073</v>
      </c>
      <c r="AJ627" s="5" t="s">
        <v>2</v>
      </c>
      <c r="AK627" s="21" t="s">
        <v>2</v>
      </c>
      <c r="AL627" s="72" t="s">
        <v>3894</v>
      </c>
      <c r="AM627" s="54" t="s">
        <v>4179</v>
      </c>
      <c r="AN627" s="34" t="s">
        <v>512</v>
      </c>
    </row>
    <row r="628" spans="2:40" x14ac:dyDescent="0.3">
      <c r="B628" s="18" t="s">
        <v>4013</v>
      </c>
      <c r="C628" s="47" t="s">
        <v>118</v>
      </c>
      <c r="D628" s="15" t="s">
        <v>2073</v>
      </c>
      <c r="E628" s="68" t="s">
        <v>2</v>
      </c>
      <c r="F628" s="55" t="s">
        <v>2</v>
      </c>
      <c r="G628" s="40" t="s">
        <v>2745</v>
      </c>
      <c r="H628" s="71" t="s">
        <v>2745</v>
      </c>
      <c r="I628" s="67" t="s">
        <v>1414</v>
      </c>
      <c r="J628" s="73" t="s">
        <v>270</v>
      </c>
      <c r="K628" s="4">
        <v>5812818</v>
      </c>
      <c r="L628" s="41">
        <v>90.37</v>
      </c>
      <c r="M628" s="4">
        <v>5241460</v>
      </c>
      <c r="N628" s="4">
        <v>5800000</v>
      </c>
      <c r="O628" s="4">
        <v>5807407</v>
      </c>
      <c r="P628" s="4">
        <v>0</v>
      </c>
      <c r="Q628" s="4">
        <v>-1936</v>
      </c>
      <c r="R628" s="4">
        <v>0</v>
      </c>
      <c r="S628" s="4">
        <v>0</v>
      </c>
      <c r="T628" s="23">
        <v>2.15</v>
      </c>
      <c r="U628" s="23">
        <v>2.113</v>
      </c>
      <c r="V628" s="5" t="s">
        <v>268</v>
      </c>
      <c r="W628" s="4">
        <v>50573</v>
      </c>
      <c r="X628" s="4">
        <v>124700</v>
      </c>
      <c r="Y628" s="14">
        <v>43873</v>
      </c>
      <c r="Z628" s="14">
        <v>46423</v>
      </c>
      <c r="AA628" s="2"/>
      <c r="AB628" s="69" t="s">
        <v>3892</v>
      </c>
      <c r="AC628" s="5" t="s">
        <v>4178</v>
      </c>
      <c r="AD628" s="2"/>
      <c r="AE628" s="9">
        <v>46361</v>
      </c>
      <c r="AF628" s="23">
        <v>100</v>
      </c>
      <c r="AG628" s="9">
        <v>46361</v>
      </c>
      <c r="AH628" s="5" t="s">
        <v>612</v>
      </c>
      <c r="AI628" s="5" t="s">
        <v>2073</v>
      </c>
      <c r="AJ628" s="5" t="s">
        <v>2</v>
      </c>
      <c r="AK628" s="21" t="s">
        <v>2</v>
      </c>
      <c r="AL628" s="72" t="s">
        <v>3894</v>
      </c>
      <c r="AM628" s="54" t="s">
        <v>4179</v>
      </c>
      <c r="AN628" s="34" t="s">
        <v>512</v>
      </c>
    </row>
    <row r="629" spans="2:40" x14ac:dyDescent="0.3">
      <c r="B629" s="18" t="s">
        <v>959</v>
      </c>
      <c r="C629" s="47" t="s">
        <v>3738</v>
      </c>
      <c r="D629" s="15" t="s">
        <v>2073</v>
      </c>
      <c r="E629" s="68" t="s">
        <v>2</v>
      </c>
      <c r="F629" s="55" t="s">
        <v>2</v>
      </c>
      <c r="G629" s="40" t="s">
        <v>2745</v>
      </c>
      <c r="H629" s="71" t="s">
        <v>2745</v>
      </c>
      <c r="I629" s="67" t="s">
        <v>1414</v>
      </c>
      <c r="J629" s="73" t="s">
        <v>270</v>
      </c>
      <c r="K629" s="4">
        <v>3096900</v>
      </c>
      <c r="L629" s="41">
        <v>84.12</v>
      </c>
      <c r="M629" s="4">
        <v>2523600</v>
      </c>
      <c r="N629" s="4">
        <v>3000000</v>
      </c>
      <c r="O629" s="4">
        <v>3084579</v>
      </c>
      <c r="P629" s="4">
        <v>0</v>
      </c>
      <c r="Q629" s="4">
        <v>-9477</v>
      </c>
      <c r="R629" s="4">
        <v>0</v>
      </c>
      <c r="S629" s="4">
        <v>0</v>
      </c>
      <c r="T629" s="23">
        <v>2.375</v>
      </c>
      <c r="U629" s="23">
        <v>1.998</v>
      </c>
      <c r="V629" s="5" t="s">
        <v>3409</v>
      </c>
      <c r="W629" s="4">
        <v>8115</v>
      </c>
      <c r="X629" s="4">
        <v>71250</v>
      </c>
      <c r="Y629" s="14">
        <v>44446</v>
      </c>
      <c r="Z629" s="14">
        <v>47988</v>
      </c>
      <c r="AA629" s="2"/>
      <c r="AB629" s="69" t="s">
        <v>3892</v>
      </c>
      <c r="AC629" s="5" t="s">
        <v>4178</v>
      </c>
      <c r="AD629" s="2"/>
      <c r="AE629" s="14">
        <v>47899</v>
      </c>
      <c r="AF629" s="23">
        <v>100</v>
      </c>
      <c r="AG629" s="9">
        <v>47899</v>
      </c>
      <c r="AH629" s="5" t="s">
        <v>612</v>
      </c>
      <c r="AI629" s="5" t="s">
        <v>2073</v>
      </c>
      <c r="AJ629" s="5" t="s">
        <v>2</v>
      </c>
      <c r="AK629" s="21" t="s">
        <v>2</v>
      </c>
      <c r="AL629" s="72" t="s">
        <v>3894</v>
      </c>
      <c r="AM629" s="54" t="s">
        <v>4179</v>
      </c>
      <c r="AN629" s="34" t="s">
        <v>512</v>
      </c>
    </row>
    <row r="630" spans="2:40" x14ac:dyDescent="0.3">
      <c r="B630" s="18" t="s">
        <v>2074</v>
      </c>
      <c r="C630" s="47" t="s">
        <v>4014</v>
      </c>
      <c r="D630" s="15" t="s">
        <v>119</v>
      </c>
      <c r="E630" s="68" t="s">
        <v>2</v>
      </c>
      <c r="F630" s="55" t="s">
        <v>2</v>
      </c>
      <c r="G630" s="40" t="s">
        <v>2</v>
      </c>
      <c r="H630" s="71" t="s">
        <v>2745</v>
      </c>
      <c r="I630" s="67" t="s">
        <v>1414</v>
      </c>
      <c r="J630" s="73" t="s">
        <v>2</v>
      </c>
      <c r="K630" s="4">
        <v>1000000</v>
      </c>
      <c r="L630" s="41">
        <v>77.171999999999997</v>
      </c>
      <c r="M630" s="4">
        <v>771720</v>
      </c>
      <c r="N630" s="4">
        <v>1000000</v>
      </c>
      <c r="O630" s="4">
        <v>1000000</v>
      </c>
      <c r="P630" s="4">
        <v>0</v>
      </c>
      <c r="Q630" s="4">
        <v>0</v>
      </c>
      <c r="R630" s="4">
        <v>0</v>
      </c>
      <c r="S630" s="4">
        <v>0</v>
      </c>
      <c r="T630" s="23">
        <v>2.02</v>
      </c>
      <c r="U630" s="23">
        <v>2.02</v>
      </c>
      <c r="V630" s="5" t="s">
        <v>3898</v>
      </c>
      <c r="W630" s="4">
        <v>1683</v>
      </c>
      <c r="X630" s="4">
        <v>20200</v>
      </c>
      <c r="Y630" s="14">
        <v>44166</v>
      </c>
      <c r="Z630" s="14">
        <v>47818</v>
      </c>
      <c r="AA630" s="2"/>
      <c r="AB630" s="69" t="s">
        <v>1671</v>
      </c>
      <c r="AC630" s="5" t="s">
        <v>2</v>
      </c>
      <c r="AD630" s="2"/>
      <c r="AE630" s="10"/>
      <c r="AF630" s="23"/>
      <c r="AG630" s="6"/>
      <c r="AH630" s="5" t="s">
        <v>2</v>
      </c>
      <c r="AI630" s="5" t="s">
        <v>119</v>
      </c>
      <c r="AJ630" s="5" t="s">
        <v>2</v>
      </c>
      <c r="AK630" s="21" t="s">
        <v>2</v>
      </c>
      <c r="AL630" s="72" t="s">
        <v>3894</v>
      </c>
      <c r="AM630" s="54" t="s">
        <v>4179</v>
      </c>
      <c r="AN630" s="34" t="s">
        <v>541</v>
      </c>
    </row>
    <row r="631" spans="2:40" x14ac:dyDescent="0.3">
      <c r="B631" s="18" t="s">
        <v>3217</v>
      </c>
      <c r="C631" s="47" t="s">
        <v>1757</v>
      </c>
      <c r="D631" s="15" t="s">
        <v>119</v>
      </c>
      <c r="E631" s="68" t="s">
        <v>2</v>
      </c>
      <c r="F631" s="55" t="s">
        <v>2</v>
      </c>
      <c r="G631" s="40" t="s">
        <v>2</v>
      </c>
      <c r="H631" s="71" t="s">
        <v>2745</v>
      </c>
      <c r="I631" s="67" t="s">
        <v>1414</v>
      </c>
      <c r="J631" s="73" t="s">
        <v>2</v>
      </c>
      <c r="K631" s="4">
        <v>23000000</v>
      </c>
      <c r="L631" s="41">
        <v>76.430999999999997</v>
      </c>
      <c r="M631" s="4">
        <v>17579130</v>
      </c>
      <c r="N631" s="4">
        <v>23000000</v>
      </c>
      <c r="O631" s="4">
        <v>23000000</v>
      </c>
      <c r="P631" s="4">
        <v>0</v>
      </c>
      <c r="Q631" s="4">
        <v>0</v>
      </c>
      <c r="R631" s="4">
        <v>0</v>
      </c>
      <c r="S631" s="4">
        <v>0</v>
      </c>
      <c r="T631" s="23">
        <v>2.25</v>
      </c>
      <c r="U631" s="23">
        <v>2.25</v>
      </c>
      <c r="V631" s="5" t="s">
        <v>1916</v>
      </c>
      <c r="W631" s="4">
        <v>217063</v>
      </c>
      <c r="X631" s="4">
        <v>258750</v>
      </c>
      <c r="Y631" s="14">
        <v>44592</v>
      </c>
      <c r="Z631" s="14">
        <v>48244</v>
      </c>
      <c r="AA631" s="2"/>
      <c r="AB631" s="69" t="s">
        <v>1671</v>
      </c>
      <c r="AC631" s="5" t="s">
        <v>2</v>
      </c>
      <c r="AD631" s="2"/>
      <c r="AE631" s="10"/>
      <c r="AF631" s="23"/>
      <c r="AG631" s="10"/>
      <c r="AH631" s="5" t="s">
        <v>2</v>
      </c>
      <c r="AI631" s="5" t="s">
        <v>119</v>
      </c>
      <c r="AJ631" s="5" t="s">
        <v>2</v>
      </c>
      <c r="AK631" s="21" t="s">
        <v>2</v>
      </c>
      <c r="AL631" s="72" t="s">
        <v>3894</v>
      </c>
      <c r="AM631" s="54" t="s">
        <v>4179</v>
      </c>
      <c r="AN631" s="34" t="s">
        <v>541</v>
      </c>
    </row>
    <row r="632" spans="2:40" x14ac:dyDescent="0.3">
      <c r="B632" s="18" t="s">
        <v>4352</v>
      </c>
      <c r="C632" s="47" t="s">
        <v>613</v>
      </c>
      <c r="D632" s="15" t="s">
        <v>365</v>
      </c>
      <c r="E632" s="68" t="s">
        <v>2</v>
      </c>
      <c r="F632" s="55" t="s">
        <v>2</v>
      </c>
      <c r="G632" s="40" t="s">
        <v>2745</v>
      </c>
      <c r="H632" s="71" t="s">
        <v>2745</v>
      </c>
      <c r="I632" s="67" t="s">
        <v>287</v>
      </c>
      <c r="J632" s="73" t="s">
        <v>270</v>
      </c>
      <c r="K632" s="4">
        <v>4994750</v>
      </c>
      <c r="L632" s="41">
        <v>98.594999999999999</v>
      </c>
      <c r="M632" s="4">
        <v>4929750</v>
      </c>
      <c r="N632" s="4">
        <v>5000000</v>
      </c>
      <c r="O632" s="4">
        <v>4997539</v>
      </c>
      <c r="P632" s="4">
        <v>0</v>
      </c>
      <c r="Q632" s="4">
        <v>1027</v>
      </c>
      <c r="R632" s="4">
        <v>0</v>
      </c>
      <c r="S632" s="4">
        <v>0</v>
      </c>
      <c r="T632" s="23">
        <v>3.9</v>
      </c>
      <c r="U632" s="23">
        <v>3.923</v>
      </c>
      <c r="V632" s="5" t="s">
        <v>3895</v>
      </c>
      <c r="W632" s="4">
        <v>48750</v>
      </c>
      <c r="X632" s="4">
        <v>195000</v>
      </c>
      <c r="Y632" s="14">
        <v>43909</v>
      </c>
      <c r="Z632" s="14">
        <v>45748</v>
      </c>
      <c r="AA632" s="2"/>
      <c r="AB632" s="69" t="s">
        <v>3892</v>
      </c>
      <c r="AC632" s="5" t="s">
        <v>4178</v>
      </c>
      <c r="AD632" s="2"/>
      <c r="AE632" s="14">
        <v>45717</v>
      </c>
      <c r="AF632" s="23">
        <v>100</v>
      </c>
      <c r="AG632" s="6"/>
      <c r="AH632" s="5" t="s">
        <v>2876</v>
      </c>
      <c r="AI632" s="5" t="s">
        <v>365</v>
      </c>
      <c r="AJ632" s="5" t="s">
        <v>2</v>
      </c>
      <c r="AK632" s="21" t="s">
        <v>2</v>
      </c>
      <c r="AL632" s="72" t="s">
        <v>3894</v>
      </c>
      <c r="AM632" s="54" t="s">
        <v>4179</v>
      </c>
      <c r="AN632" s="34" t="s">
        <v>819</v>
      </c>
    </row>
    <row r="633" spans="2:40" x14ac:dyDescent="0.3">
      <c r="B633" s="18" t="s">
        <v>960</v>
      </c>
      <c r="C633" s="47" t="s">
        <v>4015</v>
      </c>
      <c r="D633" s="15" t="s">
        <v>120</v>
      </c>
      <c r="E633" s="68" t="s">
        <v>2</v>
      </c>
      <c r="F633" s="55" t="s">
        <v>2</v>
      </c>
      <c r="G633" s="40" t="s">
        <v>3894</v>
      </c>
      <c r="H633" s="71" t="s">
        <v>2745</v>
      </c>
      <c r="I633" s="67" t="s">
        <v>287</v>
      </c>
      <c r="J633" s="73" t="s">
        <v>270</v>
      </c>
      <c r="K633" s="4">
        <v>4995450</v>
      </c>
      <c r="L633" s="41">
        <v>97.942999999999998</v>
      </c>
      <c r="M633" s="4">
        <v>4897150</v>
      </c>
      <c r="N633" s="4">
        <v>5000000</v>
      </c>
      <c r="O633" s="4">
        <v>4997981</v>
      </c>
      <c r="P633" s="4">
        <v>0</v>
      </c>
      <c r="Q633" s="4">
        <v>650</v>
      </c>
      <c r="R633" s="4">
        <v>0</v>
      </c>
      <c r="S633" s="4">
        <v>0</v>
      </c>
      <c r="T633" s="23">
        <v>3.95</v>
      </c>
      <c r="U633" s="23">
        <v>3.9649999999999999</v>
      </c>
      <c r="V633" s="5" t="s">
        <v>3409</v>
      </c>
      <c r="W633" s="4">
        <v>24139</v>
      </c>
      <c r="X633" s="4">
        <v>197500</v>
      </c>
      <c r="Y633" s="14">
        <v>43417</v>
      </c>
      <c r="Z633" s="14">
        <v>45978</v>
      </c>
      <c r="AA633" s="2"/>
      <c r="AB633" s="69" t="s">
        <v>3892</v>
      </c>
      <c r="AC633" s="5" t="s">
        <v>4178</v>
      </c>
      <c r="AD633" s="2"/>
      <c r="AE633" s="14">
        <v>45947</v>
      </c>
      <c r="AF633" s="23">
        <v>100</v>
      </c>
      <c r="AG633" s="10"/>
      <c r="AH633" s="5" t="s">
        <v>4353</v>
      </c>
      <c r="AI633" s="5" t="s">
        <v>120</v>
      </c>
      <c r="AJ633" s="5" t="s">
        <v>2</v>
      </c>
      <c r="AK633" s="21" t="s">
        <v>2</v>
      </c>
      <c r="AL633" s="72" t="s">
        <v>3894</v>
      </c>
      <c r="AM633" s="54" t="s">
        <v>4179</v>
      </c>
      <c r="AN633" s="34" t="s">
        <v>819</v>
      </c>
    </row>
    <row r="634" spans="2:40" x14ac:dyDescent="0.3">
      <c r="B634" s="18" t="s">
        <v>2075</v>
      </c>
      <c r="C634" s="47" t="s">
        <v>2076</v>
      </c>
      <c r="D634" s="15" t="s">
        <v>961</v>
      </c>
      <c r="E634" s="68" t="s">
        <v>2</v>
      </c>
      <c r="F634" s="55" t="s">
        <v>2</v>
      </c>
      <c r="G634" s="40" t="s">
        <v>2745</v>
      </c>
      <c r="H634" s="71" t="s">
        <v>2745</v>
      </c>
      <c r="I634" s="67" t="s">
        <v>287</v>
      </c>
      <c r="J634" s="73" t="s">
        <v>270</v>
      </c>
      <c r="K634" s="4">
        <v>1995980</v>
      </c>
      <c r="L634" s="41">
        <v>97.766000000000005</v>
      </c>
      <c r="M634" s="4">
        <v>1955320</v>
      </c>
      <c r="N634" s="4">
        <v>2000000</v>
      </c>
      <c r="O634" s="4">
        <v>1998172</v>
      </c>
      <c r="P634" s="4">
        <v>0</v>
      </c>
      <c r="Q634" s="4">
        <v>575</v>
      </c>
      <c r="R634" s="4">
        <v>0</v>
      </c>
      <c r="S634" s="4">
        <v>0</v>
      </c>
      <c r="T634" s="23">
        <v>3.7</v>
      </c>
      <c r="U634" s="23">
        <v>3.7330000000000001</v>
      </c>
      <c r="V634" s="5" t="s">
        <v>3898</v>
      </c>
      <c r="W634" s="4">
        <v>3289</v>
      </c>
      <c r="X634" s="4">
        <v>74000</v>
      </c>
      <c r="Y634" s="14">
        <v>43447</v>
      </c>
      <c r="Z634" s="14">
        <v>46006</v>
      </c>
      <c r="AA634" s="2"/>
      <c r="AB634" s="69" t="s">
        <v>3892</v>
      </c>
      <c r="AC634" s="5" t="s">
        <v>4178</v>
      </c>
      <c r="AD634" s="2"/>
      <c r="AE634" s="10"/>
      <c r="AF634" s="23"/>
      <c r="AG634" s="6"/>
      <c r="AH634" s="5" t="s">
        <v>4016</v>
      </c>
      <c r="AI634" s="5" t="s">
        <v>961</v>
      </c>
      <c r="AJ634" s="5" t="s">
        <v>2</v>
      </c>
      <c r="AK634" s="21" t="s">
        <v>2</v>
      </c>
      <c r="AL634" s="72" t="s">
        <v>3894</v>
      </c>
      <c r="AM634" s="54" t="s">
        <v>4179</v>
      </c>
      <c r="AN634" s="34" t="s">
        <v>819</v>
      </c>
    </row>
    <row r="635" spans="2:40" x14ac:dyDescent="0.3">
      <c r="B635" s="18" t="s">
        <v>3218</v>
      </c>
      <c r="C635" s="47" t="s">
        <v>366</v>
      </c>
      <c r="D635" s="15" t="s">
        <v>961</v>
      </c>
      <c r="E635" s="68" t="s">
        <v>2</v>
      </c>
      <c r="F635" s="55" t="s">
        <v>2</v>
      </c>
      <c r="G635" s="40" t="s">
        <v>2745</v>
      </c>
      <c r="H635" s="71" t="s">
        <v>2745</v>
      </c>
      <c r="I635" s="67" t="s">
        <v>287</v>
      </c>
      <c r="J635" s="73" t="s">
        <v>270</v>
      </c>
      <c r="K635" s="4">
        <v>4899559</v>
      </c>
      <c r="L635" s="41">
        <v>83.454999999999998</v>
      </c>
      <c r="M635" s="4">
        <v>4089295</v>
      </c>
      <c r="N635" s="4">
        <v>4900000</v>
      </c>
      <c r="O635" s="4">
        <v>4899618</v>
      </c>
      <c r="P635" s="4">
        <v>0</v>
      </c>
      <c r="Q635" s="4">
        <v>41</v>
      </c>
      <c r="R635" s="4">
        <v>0</v>
      </c>
      <c r="S635" s="4">
        <v>0</v>
      </c>
      <c r="T635" s="23">
        <v>2.2999999999999998</v>
      </c>
      <c r="U635" s="23">
        <v>2.3010000000000002</v>
      </c>
      <c r="V635" s="5" t="s">
        <v>3409</v>
      </c>
      <c r="W635" s="4">
        <v>14401</v>
      </c>
      <c r="X635" s="4">
        <v>112700</v>
      </c>
      <c r="Y635" s="14">
        <v>44333</v>
      </c>
      <c r="Z635" s="14">
        <v>47983</v>
      </c>
      <c r="AA635" s="2"/>
      <c r="AB635" s="69" t="s">
        <v>3892</v>
      </c>
      <c r="AC635" s="5" t="s">
        <v>4178</v>
      </c>
      <c r="AD635" s="2"/>
      <c r="AE635" s="14">
        <v>47894</v>
      </c>
      <c r="AF635" s="23">
        <v>100</v>
      </c>
      <c r="AG635" s="6"/>
      <c r="AH635" s="5" t="s">
        <v>4016</v>
      </c>
      <c r="AI635" s="5" t="s">
        <v>961</v>
      </c>
      <c r="AJ635" s="5" t="s">
        <v>2</v>
      </c>
      <c r="AK635" s="21" t="s">
        <v>2</v>
      </c>
      <c r="AL635" s="72" t="s">
        <v>3894</v>
      </c>
      <c r="AM635" s="54" t="s">
        <v>4179</v>
      </c>
      <c r="AN635" s="34" t="s">
        <v>819</v>
      </c>
    </row>
    <row r="636" spans="2:40" x14ac:dyDescent="0.3">
      <c r="B636" s="18" t="s">
        <v>614</v>
      </c>
      <c r="C636" s="47" t="s">
        <v>615</v>
      </c>
      <c r="D636" s="15" t="s">
        <v>2077</v>
      </c>
      <c r="E636" s="68" t="s">
        <v>2</v>
      </c>
      <c r="F636" s="55" t="s">
        <v>2</v>
      </c>
      <c r="G636" s="40" t="s">
        <v>2</v>
      </c>
      <c r="H636" s="71" t="s">
        <v>3894</v>
      </c>
      <c r="I636" s="67" t="s">
        <v>1164</v>
      </c>
      <c r="J636" s="73" t="s">
        <v>270</v>
      </c>
      <c r="K636" s="4">
        <v>2890842</v>
      </c>
      <c r="L636" s="41">
        <v>79.793000000000006</v>
      </c>
      <c r="M636" s="4">
        <v>2393790</v>
      </c>
      <c r="N636" s="4">
        <v>3000000</v>
      </c>
      <c r="O636" s="4">
        <v>2890877</v>
      </c>
      <c r="P636" s="4">
        <v>0</v>
      </c>
      <c r="Q636" s="4">
        <v>35</v>
      </c>
      <c r="R636" s="4">
        <v>0</v>
      </c>
      <c r="S636" s="4">
        <v>0</v>
      </c>
      <c r="T636" s="23">
        <v>2.65</v>
      </c>
      <c r="U636" s="23">
        <v>3.181</v>
      </c>
      <c r="V636" s="5" t="s">
        <v>3895</v>
      </c>
      <c r="W636" s="4">
        <v>16783</v>
      </c>
      <c r="X636" s="4">
        <v>0</v>
      </c>
      <c r="Y636" s="14">
        <v>44925</v>
      </c>
      <c r="Z636" s="14">
        <v>47771</v>
      </c>
      <c r="AA636" s="2"/>
      <c r="AB636" s="69" t="s">
        <v>3892</v>
      </c>
      <c r="AC636" s="5" t="s">
        <v>4178</v>
      </c>
      <c r="AD636" s="2"/>
      <c r="AE636" s="6"/>
      <c r="AF636" s="23"/>
      <c r="AG636" s="6"/>
      <c r="AH636" s="5" t="s">
        <v>1758</v>
      </c>
      <c r="AI636" s="5" t="s">
        <v>2077</v>
      </c>
      <c r="AJ636" s="5" t="s">
        <v>2</v>
      </c>
      <c r="AK636" s="21" t="s">
        <v>2</v>
      </c>
      <c r="AL636" s="72" t="s">
        <v>2745</v>
      </c>
      <c r="AM636" s="54" t="s">
        <v>4179</v>
      </c>
      <c r="AN636" s="34" t="s">
        <v>828</v>
      </c>
    </row>
    <row r="637" spans="2:40" x14ac:dyDescent="0.3">
      <c r="B637" s="18" t="s">
        <v>2078</v>
      </c>
      <c r="C637" s="47" t="s">
        <v>3518</v>
      </c>
      <c r="D637" s="15" t="s">
        <v>2611</v>
      </c>
      <c r="E637" s="68" t="s">
        <v>2</v>
      </c>
      <c r="F637" s="55" t="s">
        <v>2</v>
      </c>
      <c r="G637" s="40" t="s">
        <v>2745</v>
      </c>
      <c r="H637" s="71" t="s">
        <v>3894</v>
      </c>
      <c r="I637" s="67" t="s">
        <v>3408</v>
      </c>
      <c r="J637" s="73" t="s">
        <v>270</v>
      </c>
      <c r="K637" s="4">
        <v>10255900</v>
      </c>
      <c r="L637" s="41">
        <v>90.894000000000005</v>
      </c>
      <c r="M637" s="4">
        <v>9089400</v>
      </c>
      <c r="N637" s="4">
        <v>10000000</v>
      </c>
      <c r="O637" s="4">
        <v>10161837</v>
      </c>
      <c r="P637" s="4">
        <v>0</v>
      </c>
      <c r="Q637" s="4">
        <v>-37185</v>
      </c>
      <c r="R637" s="4">
        <v>0</v>
      </c>
      <c r="S637" s="4">
        <v>0</v>
      </c>
      <c r="T637" s="23">
        <v>2.8</v>
      </c>
      <c r="U637" s="23">
        <v>2.3839999999999999</v>
      </c>
      <c r="V637" s="5" t="s">
        <v>3895</v>
      </c>
      <c r="W637" s="4">
        <v>52889</v>
      </c>
      <c r="X637" s="4">
        <v>280000</v>
      </c>
      <c r="Y637" s="14">
        <v>43985</v>
      </c>
      <c r="Z637" s="14">
        <v>46500</v>
      </c>
      <c r="AA637" s="2"/>
      <c r="AB637" s="69" t="s">
        <v>3892</v>
      </c>
      <c r="AC637" s="5" t="s">
        <v>4178</v>
      </c>
      <c r="AD637" s="2"/>
      <c r="AE637" s="9">
        <v>46441</v>
      </c>
      <c r="AF637" s="23">
        <v>100</v>
      </c>
      <c r="AG637" s="9">
        <v>46441</v>
      </c>
      <c r="AH637" s="5" t="s">
        <v>2612</v>
      </c>
      <c r="AI637" s="5" t="s">
        <v>2611</v>
      </c>
      <c r="AJ637" s="5" t="s">
        <v>2</v>
      </c>
      <c r="AK637" s="21" t="s">
        <v>2</v>
      </c>
      <c r="AL637" s="72" t="s">
        <v>3894</v>
      </c>
      <c r="AM637" s="54" t="s">
        <v>4179</v>
      </c>
      <c r="AN637" s="34" t="s">
        <v>1650</v>
      </c>
    </row>
    <row r="638" spans="2:40" x14ac:dyDescent="0.3">
      <c r="B638" s="18" t="s">
        <v>3219</v>
      </c>
      <c r="C638" s="47" t="s">
        <v>4354</v>
      </c>
      <c r="D638" s="15" t="s">
        <v>2877</v>
      </c>
      <c r="E638" s="68" t="s">
        <v>2</v>
      </c>
      <c r="F638" s="55" t="s">
        <v>2</v>
      </c>
      <c r="G638" s="40" t="s">
        <v>2745</v>
      </c>
      <c r="H638" s="71" t="s">
        <v>3894</v>
      </c>
      <c r="I638" s="67" t="s">
        <v>8</v>
      </c>
      <c r="J638" s="73" t="s">
        <v>270</v>
      </c>
      <c r="K638" s="4">
        <v>4993500</v>
      </c>
      <c r="L638" s="41">
        <v>87.820999999999998</v>
      </c>
      <c r="M638" s="4">
        <v>4391050</v>
      </c>
      <c r="N638" s="4">
        <v>5000000</v>
      </c>
      <c r="O638" s="4">
        <v>4995538</v>
      </c>
      <c r="P638" s="4">
        <v>0</v>
      </c>
      <c r="Q638" s="4">
        <v>891</v>
      </c>
      <c r="R638" s="4">
        <v>0</v>
      </c>
      <c r="S638" s="4">
        <v>0</v>
      </c>
      <c r="T638" s="23">
        <v>2.15</v>
      </c>
      <c r="U638" s="23">
        <v>2.17</v>
      </c>
      <c r="V638" s="5" t="s">
        <v>10</v>
      </c>
      <c r="W638" s="4">
        <v>31653</v>
      </c>
      <c r="X638" s="4">
        <v>107500</v>
      </c>
      <c r="Y638" s="14">
        <v>44082</v>
      </c>
      <c r="Z638" s="14">
        <v>46645</v>
      </c>
      <c r="AA638" s="2"/>
      <c r="AB638" s="69" t="s">
        <v>3892</v>
      </c>
      <c r="AC638" s="5" t="s">
        <v>4178</v>
      </c>
      <c r="AD638" s="2"/>
      <c r="AE638" s="9">
        <v>46583</v>
      </c>
      <c r="AF638" s="23">
        <v>100</v>
      </c>
      <c r="AG638" s="6"/>
      <c r="AH638" s="5" t="s">
        <v>4017</v>
      </c>
      <c r="AI638" s="5" t="s">
        <v>3739</v>
      </c>
      <c r="AJ638" s="5" t="s">
        <v>121</v>
      </c>
      <c r="AK638" s="21" t="s">
        <v>2</v>
      </c>
      <c r="AL638" s="72" t="s">
        <v>3894</v>
      </c>
      <c r="AM638" s="54" t="s">
        <v>4179</v>
      </c>
      <c r="AN638" s="34" t="s">
        <v>1189</v>
      </c>
    </row>
    <row r="639" spans="2:40" x14ac:dyDescent="0.3">
      <c r="B639" s="18" t="s">
        <v>4355</v>
      </c>
      <c r="C639" s="47" t="s">
        <v>367</v>
      </c>
      <c r="D639" s="15" t="s">
        <v>3740</v>
      </c>
      <c r="E639" s="68" t="s">
        <v>2</v>
      </c>
      <c r="F639" s="55" t="s">
        <v>2</v>
      </c>
      <c r="G639" s="40" t="s">
        <v>2</v>
      </c>
      <c r="H639" s="71" t="s">
        <v>2745</v>
      </c>
      <c r="I639" s="67" t="s">
        <v>1414</v>
      </c>
      <c r="J639" s="73" t="s">
        <v>2</v>
      </c>
      <c r="K639" s="4">
        <v>3000000</v>
      </c>
      <c r="L639" s="41">
        <v>75.739999999999995</v>
      </c>
      <c r="M639" s="4">
        <v>2272200</v>
      </c>
      <c r="N639" s="4">
        <v>3000000</v>
      </c>
      <c r="O639" s="4">
        <v>3000000</v>
      </c>
      <c r="P639" s="4">
        <v>0</v>
      </c>
      <c r="Q639" s="4">
        <v>0</v>
      </c>
      <c r="R639" s="4">
        <v>0</v>
      </c>
      <c r="S639" s="4">
        <v>0</v>
      </c>
      <c r="T639" s="23">
        <v>1.94</v>
      </c>
      <c r="U639" s="23">
        <v>1.94</v>
      </c>
      <c r="V639" s="5" t="s">
        <v>268</v>
      </c>
      <c r="W639" s="4">
        <v>20855</v>
      </c>
      <c r="X639" s="4">
        <v>58200</v>
      </c>
      <c r="Y639" s="14">
        <v>44062</v>
      </c>
      <c r="Z639" s="14">
        <v>47717</v>
      </c>
      <c r="AA639" s="2"/>
      <c r="AB639" s="69" t="s">
        <v>1671</v>
      </c>
      <c r="AC639" s="5" t="s">
        <v>2</v>
      </c>
      <c r="AD639" s="2"/>
      <c r="AE639" s="10"/>
      <c r="AF639" s="23"/>
      <c r="AG639" s="6"/>
      <c r="AH639" s="5" t="s">
        <v>962</v>
      </c>
      <c r="AI639" s="5" t="s">
        <v>616</v>
      </c>
      <c r="AJ639" s="5" t="s">
        <v>368</v>
      </c>
      <c r="AK639" s="21" t="s">
        <v>2</v>
      </c>
      <c r="AL639" s="72" t="s">
        <v>3894</v>
      </c>
      <c r="AM639" s="54" t="s">
        <v>4179</v>
      </c>
      <c r="AN639" s="34" t="s">
        <v>541</v>
      </c>
    </row>
    <row r="640" spans="2:40" x14ac:dyDescent="0.3">
      <c r="B640" s="18" t="s">
        <v>963</v>
      </c>
      <c r="C640" s="47" t="s">
        <v>369</v>
      </c>
      <c r="D640" s="15" t="s">
        <v>4018</v>
      </c>
      <c r="E640" s="68" t="s">
        <v>2</v>
      </c>
      <c r="F640" s="55" t="s">
        <v>2</v>
      </c>
      <c r="G640" s="40" t="s">
        <v>2745</v>
      </c>
      <c r="H640" s="71" t="s">
        <v>3894</v>
      </c>
      <c r="I640" s="67" t="s">
        <v>3408</v>
      </c>
      <c r="J640" s="73" t="s">
        <v>270</v>
      </c>
      <c r="K640" s="4">
        <v>4997750</v>
      </c>
      <c r="L640" s="41">
        <v>86.847999999999999</v>
      </c>
      <c r="M640" s="4">
        <v>4342400</v>
      </c>
      <c r="N640" s="4">
        <v>5000000</v>
      </c>
      <c r="O640" s="4">
        <v>4998290</v>
      </c>
      <c r="P640" s="4">
        <v>0</v>
      </c>
      <c r="Q640" s="4">
        <v>307</v>
      </c>
      <c r="R640" s="4">
        <v>0</v>
      </c>
      <c r="S640" s="4">
        <v>0</v>
      </c>
      <c r="T640" s="23">
        <v>2.1</v>
      </c>
      <c r="U640" s="23">
        <v>2.1070000000000002</v>
      </c>
      <c r="V640" s="5" t="s">
        <v>10</v>
      </c>
      <c r="W640" s="4">
        <v>28875</v>
      </c>
      <c r="X640" s="4">
        <v>105000</v>
      </c>
      <c r="Y640" s="14">
        <v>44266</v>
      </c>
      <c r="Z640" s="14">
        <v>46834</v>
      </c>
      <c r="AA640" s="2"/>
      <c r="AB640" s="69" t="s">
        <v>3892</v>
      </c>
      <c r="AC640" s="5" t="s">
        <v>4178</v>
      </c>
      <c r="AD640" s="2"/>
      <c r="AE640" s="14">
        <v>46774</v>
      </c>
      <c r="AF640" s="23">
        <v>100</v>
      </c>
      <c r="AG640" s="6"/>
      <c r="AH640" s="5" t="s">
        <v>370</v>
      </c>
      <c r="AI640" s="5" t="s">
        <v>4018</v>
      </c>
      <c r="AJ640" s="5" t="s">
        <v>2</v>
      </c>
      <c r="AK640" s="21" t="s">
        <v>2</v>
      </c>
      <c r="AL640" s="72" t="s">
        <v>3894</v>
      </c>
      <c r="AM640" s="54" t="s">
        <v>4179</v>
      </c>
      <c r="AN640" s="34" t="s">
        <v>1650</v>
      </c>
    </row>
    <row r="641" spans="2:40" x14ac:dyDescent="0.3">
      <c r="B641" s="18" t="s">
        <v>2079</v>
      </c>
      <c r="C641" s="47" t="s">
        <v>2878</v>
      </c>
      <c r="D641" s="15" t="s">
        <v>4018</v>
      </c>
      <c r="E641" s="68" t="s">
        <v>2</v>
      </c>
      <c r="F641" s="55" t="s">
        <v>2</v>
      </c>
      <c r="G641" s="40" t="s">
        <v>2745</v>
      </c>
      <c r="H641" s="71" t="s">
        <v>3894</v>
      </c>
      <c r="I641" s="67" t="s">
        <v>3408</v>
      </c>
      <c r="J641" s="73" t="s">
        <v>270</v>
      </c>
      <c r="K641" s="4">
        <v>374455</v>
      </c>
      <c r="L641" s="41">
        <v>82.49</v>
      </c>
      <c r="M641" s="4">
        <v>310162</v>
      </c>
      <c r="N641" s="4">
        <v>376000</v>
      </c>
      <c r="O641" s="4">
        <v>374701</v>
      </c>
      <c r="P641" s="4">
        <v>0</v>
      </c>
      <c r="Q641" s="4">
        <v>140</v>
      </c>
      <c r="R641" s="4">
        <v>0</v>
      </c>
      <c r="S641" s="4">
        <v>0</v>
      </c>
      <c r="T641" s="23">
        <v>2.5499999999999998</v>
      </c>
      <c r="U641" s="23">
        <v>2.597</v>
      </c>
      <c r="V641" s="5" t="s">
        <v>10</v>
      </c>
      <c r="W641" s="4">
        <v>2663</v>
      </c>
      <c r="X641" s="4">
        <v>9588</v>
      </c>
      <c r="Y641" s="14">
        <v>44266</v>
      </c>
      <c r="Z641" s="14">
        <v>47928</v>
      </c>
      <c r="AA641" s="2"/>
      <c r="AB641" s="69" t="s">
        <v>3892</v>
      </c>
      <c r="AC641" s="5" t="s">
        <v>4178</v>
      </c>
      <c r="AD641" s="2"/>
      <c r="AE641" s="14">
        <v>47838</v>
      </c>
      <c r="AF641" s="23">
        <v>100</v>
      </c>
      <c r="AG641" s="10"/>
      <c r="AH641" s="5" t="s">
        <v>370</v>
      </c>
      <c r="AI641" s="5" t="s">
        <v>4018</v>
      </c>
      <c r="AJ641" s="5" t="s">
        <v>2</v>
      </c>
      <c r="AK641" s="21" t="s">
        <v>2</v>
      </c>
      <c r="AL641" s="72" t="s">
        <v>3894</v>
      </c>
      <c r="AM641" s="54" t="s">
        <v>4179</v>
      </c>
      <c r="AN641" s="34" t="s">
        <v>1650</v>
      </c>
    </row>
    <row r="642" spans="2:40" x14ac:dyDescent="0.3">
      <c r="B642" s="18" t="s">
        <v>3220</v>
      </c>
      <c r="C642" s="47" t="s">
        <v>2399</v>
      </c>
      <c r="D642" s="15" t="s">
        <v>3221</v>
      </c>
      <c r="E642" s="68" t="s">
        <v>2</v>
      </c>
      <c r="F642" s="55" t="s">
        <v>2</v>
      </c>
      <c r="G642" s="40" t="s">
        <v>2745</v>
      </c>
      <c r="H642" s="71" t="s">
        <v>3894</v>
      </c>
      <c r="I642" s="67" t="s">
        <v>1164</v>
      </c>
      <c r="J642" s="73" t="s">
        <v>270</v>
      </c>
      <c r="K642" s="4">
        <v>4998157</v>
      </c>
      <c r="L642" s="41">
        <v>85.573999999999998</v>
      </c>
      <c r="M642" s="4">
        <v>4278700</v>
      </c>
      <c r="N642" s="4">
        <v>5000000</v>
      </c>
      <c r="O642" s="4">
        <v>4998576</v>
      </c>
      <c r="P642" s="4">
        <v>0</v>
      </c>
      <c r="Q642" s="4">
        <v>299</v>
      </c>
      <c r="R642" s="4">
        <v>0</v>
      </c>
      <c r="S642" s="4">
        <v>0</v>
      </c>
      <c r="T642" s="23">
        <v>2.2999999999999998</v>
      </c>
      <c r="U642" s="23">
        <v>2.3069999999999999</v>
      </c>
      <c r="V642" s="5" t="s">
        <v>3898</v>
      </c>
      <c r="W642" s="4">
        <v>2875</v>
      </c>
      <c r="X642" s="4">
        <v>115000</v>
      </c>
      <c r="Y642" s="14">
        <v>44498</v>
      </c>
      <c r="Z642" s="14">
        <v>46560</v>
      </c>
      <c r="AA642" s="2"/>
      <c r="AB642" s="69" t="s">
        <v>3892</v>
      </c>
      <c r="AC642" s="5" t="s">
        <v>4178</v>
      </c>
      <c r="AD642" s="2"/>
      <c r="AE642" s="14">
        <v>46499</v>
      </c>
      <c r="AF642" s="23">
        <v>100</v>
      </c>
      <c r="AG642" s="6"/>
      <c r="AH642" s="5" t="s">
        <v>2</v>
      </c>
      <c r="AI642" s="5" t="s">
        <v>3221</v>
      </c>
      <c r="AJ642" s="5" t="s">
        <v>2</v>
      </c>
      <c r="AK642" s="21" t="s">
        <v>2</v>
      </c>
      <c r="AL642" s="72" t="s">
        <v>3894</v>
      </c>
      <c r="AM642" s="54" t="s">
        <v>4179</v>
      </c>
      <c r="AN642" s="34" t="s">
        <v>828</v>
      </c>
    </row>
    <row r="643" spans="2:40" x14ac:dyDescent="0.3">
      <c r="B643" s="18" t="s">
        <v>4356</v>
      </c>
      <c r="C643" s="47" t="s">
        <v>371</v>
      </c>
      <c r="D643" s="15" t="s">
        <v>3221</v>
      </c>
      <c r="E643" s="68" t="s">
        <v>2</v>
      </c>
      <c r="F643" s="55" t="s">
        <v>2</v>
      </c>
      <c r="G643" s="40" t="s">
        <v>2745</v>
      </c>
      <c r="H643" s="71" t="s">
        <v>3894</v>
      </c>
      <c r="I643" s="67" t="s">
        <v>1164</v>
      </c>
      <c r="J643" s="73" t="s">
        <v>270</v>
      </c>
      <c r="K643" s="4">
        <v>2991058</v>
      </c>
      <c r="L643" s="41">
        <v>78.635000000000005</v>
      </c>
      <c r="M643" s="4">
        <v>2359050</v>
      </c>
      <c r="N643" s="4">
        <v>3000000</v>
      </c>
      <c r="O643" s="4">
        <v>2992201</v>
      </c>
      <c r="P643" s="4">
        <v>0</v>
      </c>
      <c r="Q643" s="4">
        <v>928</v>
      </c>
      <c r="R643" s="4">
        <v>0</v>
      </c>
      <c r="S643" s="4">
        <v>0</v>
      </c>
      <c r="T643" s="23">
        <v>2.7</v>
      </c>
      <c r="U643" s="23">
        <v>2.7389999999999999</v>
      </c>
      <c r="V643" s="5" t="s">
        <v>3898</v>
      </c>
      <c r="W643" s="4">
        <v>2025</v>
      </c>
      <c r="X643" s="4">
        <v>81000</v>
      </c>
      <c r="Y643" s="14">
        <v>44498</v>
      </c>
      <c r="Z643" s="14">
        <v>47656</v>
      </c>
      <c r="AA643" s="2"/>
      <c r="AB643" s="69" t="s">
        <v>3892</v>
      </c>
      <c r="AC643" s="5" t="s">
        <v>4178</v>
      </c>
      <c r="AD643" s="2"/>
      <c r="AE643" s="14">
        <v>47564</v>
      </c>
      <c r="AF643" s="23">
        <v>100</v>
      </c>
      <c r="AG643" s="6"/>
      <c r="AH643" s="5" t="s">
        <v>2</v>
      </c>
      <c r="AI643" s="5" t="s">
        <v>3221</v>
      </c>
      <c r="AJ643" s="5" t="s">
        <v>2</v>
      </c>
      <c r="AK643" s="21" t="s">
        <v>2</v>
      </c>
      <c r="AL643" s="72" t="s">
        <v>3894</v>
      </c>
      <c r="AM643" s="54" t="s">
        <v>4179</v>
      </c>
      <c r="AN643" s="34" t="s">
        <v>828</v>
      </c>
    </row>
    <row r="644" spans="2:40" x14ac:dyDescent="0.3">
      <c r="B644" s="18" t="s">
        <v>964</v>
      </c>
      <c r="C644" s="47" t="s">
        <v>122</v>
      </c>
      <c r="D644" s="15" t="s">
        <v>2080</v>
      </c>
      <c r="E644" s="68" t="s">
        <v>2</v>
      </c>
      <c r="F644" s="55" t="s">
        <v>2</v>
      </c>
      <c r="G644" s="40" t="s">
        <v>2745</v>
      </c>
      <c r="H644" s="71" t="s">
        <v>3894</v>
      </c>
      <c r="I644" s="67" t="s">
        <v>1164</v>
      </c>
      <c r="J644" s="73" t="s">
        <v>270</v>
      </c>
      <c r="K644" s="4">
        <v>4974050</v>
      </c>
      <c r="L644" s="41">
        <v>81.795000000000002</v>
      </c>
      <c r="M644" s="4">
        <v>4089750</v>
      </c>
      <c r="N644" s="4">
        <v>5000000</v>
      </c>
      <c r="O644" s="4">
        <v>4979009</v>
      </c>
      <c r="P644" s="4">
        <v>0</v>
      </c>
      <c r="Q644" s="4">
        <v>3516</v>
      </c>
      <c r="R644" s="4">
        <v>0</v>
      </c>
      <c r="S644" s="4">
        <v>0</v>
      </c>
      <c r="T644" s="23">
        <v>1.8</v>
      </c>
      <c r="U644" s="23">
        <v>1.879</v>
      </c>
      <c r="V644" s="5" t="s">
        <v>268</v>
      </c>
      <c r="W644" s="4">
        <v>34000</v>
      </c>
      <c r="X644" s="4">
        <v>93250</v>
      </c>
      <c r="Y644" s="14">
        <v>44397</v>
      </c>
      <c r="Z644" s="14">
        <v>46980</v>
      </c>
      <c r="AA644" s="2"/>
      <c r="AB644" s="69" t="s">
        <v>3892</v>
      </c>
      <c r="AC644" s="5" t="s">
        <v>4178</v>
      </c>
      <c r="AD644" s="2"/>
      <c r="AE644" s="14">
        <v>46919</v>
      </c>
      <c r="AF644" s="23">
        <v>100</v>
      </c>
      <c r="AG644" s="6"/>
      <c r="AH644" s="5" t="s">
        <v>965</v>
      </c>
      <c r="AI644" s="5" t="s">
        <v>2080</v>
      </c>
      <c r="AJ644" s="5" t="s">
        <v>2</v>
      </c>
      <c r="AK644" s="21" t="s">
        <v>2</v>
      </c>
      <c r="AL644" s="72" t="s">
        <v>3894</v>
      </c>
      <c r="AM644" s="54" t="s">
        <v>4179</v>
      </c>
      <c r="AN644" s="34" t="s">
        <v>828</v>
      </c>
    </row>
    <row r="645" spans="2:40" x14ac:dyDescent="0.3">
      <c r="B645" s="18" t="s">
        <v>2081</v>
      </c>
      <c r="C645" s="47" t="s">
        <v>617</v>
      </c>
      <c r="D645" s="15" t="s">
        <v>2879</v>
      </c>
      <c r="E645" s="68" t="s">
        <v>2</v>
      </c>
      <c r="F645" s="55" t="s">
        <v>2</v>
      </c>
      <c r="G645" s="40" t="s">
        <v>2745</v>
      </c>
      <c r="H645" s="71" t="s">
        <v>3894</v>
      </c>
      <c r="I645" s="67" t="s">
        <v>8</v>
      </c>
      <c r="J645" s="73" t="s">
        <v>270</v>
      </c>
      <c r="K645" s="4">
        <v>1837760</v>
      </c>
      <c r="L645" s="41">
        <v>88.448999999999998</v>
      </c>
      <c r="M645" s="4">
        <v>1768980</v>
      </c>
      <c r="N645" s="4">
        <v>2000000</v>
      </c>
      <c r="O645" s="4">
        <v>1843795</v>
      </c>
      <c r="P645" s="4">
        <v>0</v>
      </c>
      <c r="Q645" s="4">
        <v>6035</v>
      </c>
      <c r="R645" s="4">
        <v>0</v>
      </c>
      <c r="S645" s="4">
        <v>0</v>
      </c>
      <c r="T645" s="23">
        <v>3.5</v>
      </c>
      <c r="U645" s="23">
        <v>4.7619999999999996</v>
      </c>
      <c r="V645" s="5" t="s">
        <v>3898</v>
      </c>
      <c r="W645" s="4">
        <v>5833</v>
      </c>
      <c r="X645" s="4">
        <v>35000</v>
      </c>
      <c r="Y645" s="14">
        <v>44798</v>
      </c>
      <c r="Z645" s="14">
        <v>47635</v>
      </c>
      <c r="AA645" s="2"/>
      <c r="AB645" s="69" t="s">
        <v>3892</v>
      </c>
      <c r="AC645" s="5" t="s">
        <v>4178</v>
      </c>
      <c r="AD645" s="2"/>
      <c r="AE645" s="9">
        <v>47543</v>
      </c>
      <c r="AF645" s="23">
        <v>100</v>
      </c>
      <c r="AG645" s="6"/>
      <c r="AH645" s="5" t="s">
        <v>2</v>
      </c>
      <c r="AI645" s="5" t="s">
        <v>2879</v>
      </c>
      <c r="AJ645" s="5" t="s">
        <v>2</v>
      </c>
      <c r="AK645" s="21" t="s">
        <v>2</v>
      </c>
      <c r="AL645" s="72" t="s">
        <v>3894</v>
      </c>
      <c r="AM645" s="54" t="s">
        <v>4179</v>
      </c>
      <c r="AN645" s="34" t="s">
        <v>1189</v>
      </c>
    </row>
    <row r="646" spans="2:40" x14ac:dyDescent="0.3">
      <c r="B646" s="18" t="s">
        <v>4357</v>
      </c>
      <c r="C646" s="47" t="s">
        <v>3741</v>
      </c>
      <c r="D646" s="15" t="s">
        <v>3742</v>
      </c>
      <c r="E646" s="68" t="s">
        <v>2</v>
      </c>
      <c r="F646" s="55" t="s">
        <v>2</v>
      </c>
      <c r="G646" s="40" t="s">
        <v>2745</v>
      </c>
      <c r="H646" s="71" t="s">
        <v>3894</v>
      </c>
      <c r="I646" s="67" t="s">
        <v>8</v>
      </c>
      <c r="J646" s="73" t="s">
        <v>270</v>
      </c>
      <c r="K646" s="4">
        <v>5052990</v>
      </c>
      <c r="L646" s="41">
        <v>98.453999999999994</v>
      </c>
      <c r="M646" s="4">
        <v>4922700</v>
      </c>
      <c r="N646" s="4">
        <v>5000000</v>
      </c>
      <c r="O646" s="4">
        <v>5025248</v>
      </c>
      <c r="P646" s="4">
        <v>0</v>
      </c>
      <c r="Q646" s="4">
        <v>-7774</v>
      </c>
      <c r="R646" s="4">
        <v>0</v>
      </c>
      <c r="S646" s="4">
        <v>0</v>
      </c>
      <c r="T646" s="23">
        <v>4.6500000000000004</v>
      </c>
      <c r="U646" s="23">
        <v>4.468</v>
      </c>
      <c r="V646" s="5" t="s">
        <v>10</v>
      </c>
      <c r="W646" s="4">
        <v>68458</v>
      </c>
      <c r="X646" s="4">
        <v>232500</v>
      </c>
      <c r="Y646" s="14">
        <v>43553</v>
      </c>
      <c r="Z646" s="14">
        <v>46096</v>
      </c>
      <c r="AA646" s="2"/>
      <c r="AB646" s="69" t="s">
        <v>3892</v>
      </c>
      <c r="AC646" s="5" t="s">
        <v>4178</v>
      </c>
      <c r="AD646" s="2"/>
      <c r="AE646" s="9">
        <v>46037</v>
      </c>
      <c r="AF646" s="23">
        <v>100</v>
      </c>
      <c r="AG646" s="9">
        <v>46037</v>
      </c>
      <c r="AH646" s="5" t="s">
        <v>1272</v>
      </c>
      <c r="AI646" s="5" t="s">
        <v>3742</v>
      </c>
      <c r="AJ646" s="5" t="s">
        <v>2</v>
      </c>
      <c r="AK646" s="21" t="s">
        <v>2</v>
      </c>
      <c r="AL646" s="72" t="s">
        <v>3894</v>
      </c>
      <c r="AM646" s="54" t="s">
        <v>4179</v>
      </c>
      <c r="AN646" s="34" t="s">
        <v>1189</v>
      </c>
    </row>
    <row r="647" spans="2:40" x14ac:dyDescent="0.3">
      <c r="B647" s="18" t="s">
        <v>966</v>
      </c>
      <c r="C647" s="47" t="s">
        <v>1759</v>
      </c>
      <c r="D647" s="15" t="s">
        <v>3742</v>
      </c>
      <c r="E647" s="68" t="s">
        <v>2</v>
      </c>
      <c r="F647" s="55" t="s">
        <v>2</v>
      </c>
      <c r="G647" s="40" t="s">
        <v>2745</v>
      </c>
      <c r="H647" s="71" t="s">
        <v>3894</v>
      </c>
      <c r="I647" s="67" t="s">
        <v>8</v>
      </c>
      <c r="J647" s="73" t="s">
        <v>270</v>
      </c>
      <c r="K647" s="4">
        <v>2999280</v>
      </c>
      <c r="L647" s="41">
        <v>92.242999999999995</v>
      </c>
      <c r="M647" s="4">
        <v>2767290</v>
      </c>
      <c r="N647" s="4">
        <v>3000000</v>
      </c>
      <c r="O647" s="4">
        <v>2999562</v>
      </c>
      <c r="P647" s="4">
        <v>0</v>
      </c>
      <c r="Q647" s="4">
        <v>71</v>
      </c>
      <c r="R647" s="4">
        <v>0</v>
      </c>
      <c r="S647" s="4">
        <v>0</v>
      </c>
      <c r="T647" s="23">
        <v>3.9</v>
      </c>
      <c r="U647" s="23">
        <v>3.903</v>
      </c>
      <c r="V647" s="5" t="s">
        <v>3898</v>
      </c>
      <c r="W647" s="4">
        <v>9750</v>
      </c>
      <c r="X647" s="4">
        <v>117000</v>
      </c>
      <c r="Y647" s="14">
        <v>43601</v>
      </c>
      <c r="Z647" s="14">
        <v>46905</v>
      </c>
      <c r="AA647" s="2"/>
      <c r="AB647" s="69" t="s">
        <v>3892</v>
      </c>
      <c r="AC647" s="5" t="s">
        <v>4178</v>
      </c>
      <c r="AD647" s="2"/>
      <c r="AE647" s="9">
        <v>46813</v>
      </c>
      <c r="AF647" s="23">
        <v>100</v>
      </c>
      <c r="AG647" s="6"/>
      <c r="AH647" s="5" t="s">
        <v>1272</v>
      </c>
      <c r="AI647" s="5" t="s">
        <v>3742</v>
      </c>
      <c r="AJ647" s="5" t="s">
        <v>2</v>
      </c>
      <c r="AK647" s="21" t="s">
        <v>2</v>
      </c>
      <c r="AL647" s="72" t="s">
        <v>3894</v>
      </c>
      <c r="AM647" s="54" t="s">
        <v>4179</v>
      </c>
      <c r="AN647" s="34" t="s">
        <v>1189</v>
      </c>
    </row>
    <row r="648" spans="2:40" x14ac:dyDescent="0.3">
      <c r="B648" s="18" t="s">
        <v>2082</v>
      </c>
      <c r="C648" s="47" t="s">
        <v>1760</v>
      </c>
      <c r="D648" s="15" t="s">
        <v>4019</v>
      </c>
      <c r="E648" s="68" t="s">
        <v>2</v>
      </c>
      <c r="F648" s="55" t="s">
        <v>2</v>
      </c>
      <c r="G648" s="40" t="s">
        <v>2745</v>
      </c>
      <c r="H648" s="71" t="s">
        <v>2745</v>
      </c>
      <c r="I648" s="67" t="s">
        <v>1164</v>
      </c>
      <c r="J648" s="73" t="s">
        <v>270</v>
      </c>
      <c r="K648" s="4">
        <v>5073340</v>
      </c>
      <c r="L648" s="41">
        <v>97.894999999999996</v>
      </c>
      <c r="M648" s="4">
        <v>4894750</v>
      </c>
      <c r="N648" s="4">
        <v>5000000</v>
      </c>
      <c r="O648" s="4">
        <v>5029505</v>
      </c>
      <c r="P648" s="4">
        <v>0</v>
      </c>
      <c r="Q648" s="4">
        <v>-12357</v>
      </c>
      <c r="R648" s="4">
        <v>0</v>
      </c>
      <c r="S648" s="4">
        <v>0</v>
      </c>
      <c r="T648" s="23">
        <v>3.55</v>
      </c>
      <c r="U648" s="23">
        <v>3.278</v>
      </c>
      <c r="V648" s="5" t="s">
        <v>3898</v>
      </c>
      <c r="W648" s="4">
        <v>2465</v>
      </c>
      <c r="X648" s="4">
        <v>177500</v>
      </c>
      <c r="Y648" s="14">
        <v>43553</v>
      </c>
      <c r="Z648" s="14">
        <v>45834</v>
      </c>
      <c r="AA648" s="2"/>
      <c r="AB648" s="69" t="s">
        <v>3892</v>
      </c>
      <c r="AC648" s="5" t="s">
        <v>4178</v>
      </c>
      <c r="AD648" s="2"/>
      <c r="AE648" s="14">
        <v>45773</v>
      </c>
      <c r="AF648" s="23">
        <v>100</v>
      </c>
      <c r="AG648" s="9">
        <v>45773</v>
      </c>
      <c r="AH648" s="5" t="s">
        <v>123</v>
      </c>
      <c r="AI648" s="5" t="s">
        <v>4019</v>
      </c>
      <c r="AJ648" s="5" t="s">
        <v>2</v>
      </c>
      <c r="AK648" s="21" t="s">
        <v>2</v>
      </c>
      <c r="AL648" s="72" t="s">
        <v>3894</v>
      </c>
      <c r="AM648" s="54" t="s">
        <v>4179</v>
      </c>
      <c r="AN648" s="34" t="s">
        <v>1625</v>
      </c>
    </row>
    <row r="649" spans="2:40" x14ac:dyDescent="0.3">
      <c r="B649" s="18" t="s">
        <v>3222</v>
      </c>
      <c r="C649" s="47" t="s">
        <v>124</v>
      </c>
      <c r="D649" s="15" t="s">
        <v>1761</v>
      </c>
      <c r="E649" s="68" t="s">
        <v>2</v>
      </c>
      <c r="F649" s="55" t="s">
        <v>2</v>
      </c>
      <c r="G649" s="40" t="s">
        <v>2745</v>
      </c>
      <c r="H649" s="71" t="s">
        <v>3894</v>
      </c>
      <c r="I649" s="67" t="s">
        <v>3408</v>
      </c>
      <c r="J649" s="73" t="s">
        <v>270</v>
      </c>
      <c r="K649" s="4">
        <v>9994550</v>
      </c>
      <c r="L649" s="41">
        <v>84.784000000000006</v>
      </c>
      <c r="M649" s="4">
        <v>8478400</v>
      </c>
      <c r="N649" s="4">
        <v>10000000</v>
      </c>
      <c r="O649" s="4">
        <v>9995634</v>
      </c>
      <c r="P649" s="4">
        <v>0</v>
      </c>
      <c r="Q649" s="4">
        <v>631</v>
      </c>
      <c r="R649" s="4">
        <v>0</v>
      </c>
      <c r="S649" s="4">
        <v>0</v>
      </c>
      <c r="T649" s="23">
        <v>2</v>
      </c>
      <c r="U649" s="23">
        <v>2.0070000000000001</v>
      </c>
      <c r="V649" s="5" t="s">
        <v>3898</v>
      </c>
      <c r="W649" s="4">
        <v>16667</v>
      </c>
      <c r="X649" s="4">
        <v>200000</v>
      </c>
      <c r="Y649" s="14">
        <v>44315</v>
      </c>
      <c r="Z649" s="14">
        <v>47270</v>
      </c>
      <c r="AA649" s="2"/>
      <c r="AB649" s="69" t="s">
        <v>3892</v>
      </c>
      <c r="AC649" s="5" t="s">
        <v>4178</v>
      </c>
      <c r="AD649" s="2"/>
      <c r="AE649" s="9">
        <v>47209</v>
      </c>
      <c r="AF649" s="23">
        <v>100</v>
      </c>
      <c r="AG649" s="6"/>
      <c r="AH649" s="5" t="s">
        <v>2083</v>
      </c>
      <c r="AI649" s="5" t="s">
        <v>1761</v>
      </c>
      <c r="AJ649" s="5" t="s">
        <v>2</v>
      </c>
      <c r="AK649" s="21" t="s">
        <v>2</v>
      </c>
      <c r="AL649" s="72" t="s">
        <v>3894</v>
      </c>
      <c r="AM649" s="54" t="s">
        <v>4179</v>
      </c>
      <c r="AN649" s="34" t="s">
        <v>1650</v>
      </c>
    </row>
    <row r="650" spans="2:40" x14ac:dyDescent="0.3">
      <c r="B650" s="18" t="s">
        <v>4358</v>
      </c>
      <c r="C650" s="47" t="s">
        <v>1491</v>
      </c>
      <c r="D650" s="15" t="s">
        <v>3519</v>
      </c>
      <c r="E650" s="68" t="s">
        <v>2</v>
      </c>
      <c r="F650" s="55" t="s">
        <v>2</v>
      </c>
      <c r="G650" s="40" t="s">
        <v>2745</v>
      </c>
      <c r="H650" s="71" t="s">
        <v>3894</v>
      </c>
      <c r="I650" s="67" t="s">
        <v>3408</v>
      </c>
      <c r="J650" s="73" t="s">
        <v>270</v>
      </c>
      <c r="K650" s="4">
        <v>5000000</v>
      </c>
      <c r="L650" s="41">
        <v>94.747</v>
      </c>
      <c r="M650" s="4">
        <v>4737350</v>
      </c>
      <c r="N650" s="4">
        <v>5000000</v>
      </c>
      <c r="O650" s="4">
        <v>5000000</v>
      </c>
      <c r="P650" s="4">
        <v>0</v>
      </c>
      <c r="Q650" s="4">
        <v>0</v>
      </c>
      <c r="R650" s="4">
        <v>0</v>
      </c>
      <c r="S650" s="4">
        <v>0</v>
      </c>
      <c r="T650" s="23">
        <v>2.4060000000000001</v>
      </c>
      <c r="U650" s="23">
        <v>2.4060000000000001</v>
      </c>
      <c r="V650" s="5" t="s">
        <v>3895</v>
      </c>
      <c r="W650" s="4">
        <v>20384</v>
      </c>
      <c r="X650" s="4">
        <v>120300</v>
      </c>
      <c r="Y650" s="14">
        <v>43763</v>
      </c>
      <c r="Z650" s="14">
        <v>45960</v>
      </c>
      <c r="AA650" s="2"/>
      <c r="AB650" s="69" t="s">
        <v>3892</v>
      </c>
      <c r="AC650" s="5" t="s">
        <v>4178</v>
      </c>
      <c r="AD650" s="2"/>
      <c r="AE650" s="14">
        <v>45595</v>
      </c>
      <c r="AF650" s="23">
        <v>100</v>
      </c>
      <c r="AG650" s="10"/>
      <c r="AH650" s="5" t="s">
        <v>1762</v>
      </c>
      <c r="AI650" s="5" t="s">
        <v>3519</v>
      </c>
      <c r="AJ650" s="5" t="s">
        <v>2</v>
      </c>
      <c r="AK650" s="21" t="s">
        <v>2</v>
      </c>
      <c r="AL650" s="72" t="s">
        <v>3894</v>
      </c>
      <c r="AM650" s="54" t="s">
        <v>4179</v>
      </c>
      <c r="AN650" s="34" t="s">
        <v>1650</v>
      </c>
    </row>
    <row r="651" spans="2:40" x14ac:dyDescent="0.3">
      <c r="B651" s="18" t="s">
        <v>967</v>
      </c>
      <c r="C651" s="47" t="s">
        <v>2613</v>
      </c>
      <c r="D651" s="15" t="s">
        <v>3519</v>
      </c>
      <c r="E651" s="68" t="s">
        <v>2</v>
      </c>
      <c r="F651" s="55" t="s">
        <v>2</v>
      </c>
      <c r="G651" s="40" t="s">
        <v>2745</v>
      </c>
      <c r="H651" s="71" t="s">
        <v>2745</v>
      </c>
      <c r="I651" s="67" t="s">
        <v>3660</v>
      </c>
      <c r="J651" s="73" t="s">
        <v>270</v>
      </c>
      <c r="K651" s="4">
        <v>10000950</v>
      </c>
      <c r="L651" s="41">
        <v>93.370999999999995</v>
      </c>
      <c r="M651" s="4">
        <v>9337100</v>
      </c>
      <c r="N651" s="4">
        <v>10000000</v>
      </c>
      <c r="O651" s="4">
        <v>10000417</v>
      </c>
      <c r="P651" s="4">
        <v>0</v>
      </c>
      <c r="Q651" s="4">
        <v>-190</v>
      </c>
      <c r="R651" s="4">
        <v>0</v>
      </c>
      <c r="S651" s="4">
        <v>0</v>
      </c>
      <c r="T651" s="23">
        <v>2.1640000000000001</v>
      </c>
      <c r="U651" s="23">
        <v>2.1619999999999999</v>
      </c>
      <c r="V651" s="5" t="s">
        <v>268</v>
      </c>
      <c r="W651" s="4">
        <v>84156</v>
      </c>
      <c r="X651" s="4">
        <v>216400</v>
      </c>
      <c r="Y651" s="14">
        <v>43873</v>
      </c>
      <c r="Z651" s="14">
        <v>46064</v>
      </c>
      <c r="AA651" s="2"/>
      <c r="AB651" s="69" t="s">
        <v>3892</v>
      </c>
      <c r="AC651" s="5" t="s">
        <v>4178</v>
      </c>
      <c r="AD651" s="2"/>
      <c r="AE651" s="9">
        <v>45699</v>
      </c>
      <c r="AF651" s="23">
        <v>100</v>
      </c>
      <c r="AG651" s="9">
        <v>45699</v>
      </c>
      <c r="AH651" s="5" t="s">
        <v>1762</v>
      </c>
      <c r="AI651" s="5" t="s">
        <v>3519</v>
      </c>
      <c r="AJ651" s="5" t="s">
        <v>2</v>
      </c>
      <c r="AK651" s="21" t="s">
        <v>2</v>
      </c>
      <c r="AL651" s="72" t="s">
        <v>3894</v>
      </c>
      <c r="AM651" s="54" t="s">
        <v>4179</v>
      </c>
      <c r="AN651" s="34" t="s">
        <v>1170</v>
      </c>
    </row>
    <row r="652" spans="2:40" x14ac:dyDescent="0.3">
      <c r="B652" s="18" t="s">
        <v>2084</v>
      </c>
      <c r="C652" s="47" t="s">
        <v>3520</v>
      </c>
      <c r="D652" s="15" t="s">
        <v>3519</v>
      </c>
      <c r="E652" s="68" t="s">
        <v>2</v>
      </c>
      <c r="F652" s="55" t="s">
        <v>2</v>
      </c>
      <c r="G652" s="40" t="s">
        <v>2745</v>
      </c>
      <c r="H652" s="71" t="s">
        <v>3894</v>
      </c>
      <c r="I652" s="67" t="s">
        <v>3408</v>
      </c>
      <c r="J652" s="73" t="s">
        <v>270</v>
      </c>
      <c r="K652" s="4">
        <v>5000000</v>
      </c>
      <c r="L652" s="41">
        <v>95.09</v>
      </c>
      <c r="M652" s="4">
        <v>4754500</v>
      </c>
      <c r="N652" s="4">
        <v>5000000</v>
      </c>
      <c r="O652" s="4">
        <v>5000000</v>
      </c>
      <c r="P652" s="4">
        <v>0</v>
      </c>
      <c r="Q652" s="4">
        <v>0</v>
      </c>
      <c r="R652" s="4">
        <v>0</v>
      </c>
      <c r="S652" s="4">
        <v>0</v>
      </c>
      <c r="T652" s="23">
        <v>4.8970000000000002</v>
      </c>
      <c r="U652" s="23">
        <v>4.8120000000000003</v>
      </c>
      <c r="V652" s="5" t="s">
        <v>1916</v>
      </c>
      <c r="W652" s="4">
        <v>106102</v>
      </c>
      <c r="X652" s="4">
        <v>0</v>
      </c>
      <c r="Y652" s="14">
        <v>44760</v>
      </c>
      <c r="Z652" s="14">
        <v>48785</v>
      </c>
      <c r="AA652" s="2"/>
      <c r="AB652" s="69" t="s">
        <v>3892</v>
      </c>
      <c r="AC652" s="5" t="s">
        <v>4178</v>
      </c>
      <c r="AD652" s="2"/>
      <c r="AE652" s="9">
        <v>48420</v>
      </c>
      <c r="AF652" s="23">
        <v>100</v>
      </c>
      <c r="AG652" s="6"/>
      <c r="AH652" s="5" t="s">
        <v>1762</v>
      </c>
      <c r="AI652" s="5" t="s">
        <v>3519</v>
      </c>
      <c r="AJ652" s="5" t="s">
        <v>2</v>
      </c>
      <c r="AK652" s="21" t="s">
        <v>2</v>
      </c>
      <c r="AL652" s="72" t="s">
        <v>3894</v>
      </c>
      <c r="AM652" s="54" t="s">
        <v>4179</v>
      </c>
      <c r="AN652" s="34" t="s">
        <v>1650</v>
      </c>
    </row>
    <row r="653" spans="2:40" x14ac:dyDescent="0.3">
      <c r="B653" s="18" t="s">
        <v>3223</v>
      </c>
      <c r="C653" s="47" t="s">
        <v>2614</v>
      </c>
      <c r="D653" s="15" t="s">
        <v>4020</v>
      </c>
      <c r="E653" s="68" t="s">
        <v>2</v>
      </c>
      <c r="F653" s="55" t="s">
        <v>2</v>
      </c>
      <c r="G653" s="40" t="s">
        <v>2745</v>
      </c>
      <c r="H653" s="71" t="s">
        <v>3894</v>
      </c>
      <c r="I653" s="67" t="s">
        <v>1164</v>
      </c>
      <c r="J653" s="73" t="s">
        <v>270</v>
      </c>
      <c r="K653" s="4">
        <v>4990250</v>
      </c>
      <c r="L653" s="41">
        <v>98.349000000000004</v>
      </c>
      <c r="M653" s="4">
        <v>4917450</v>
      </c>
      <c r="N653" s="4">
        <v>5000000</v>
      </c>
      <c r="O653" s="4">
        <v>4997662</v>
      </c>
      <c r="P653" s="4">
        <v>0</v>
      </c>
      <c r="Q653" s="4">
        <v>1850</v>
      </c>
      <c r="R653" s="4">
        <v>0</v>
      </c>
      <c r="S653" s="4">
        <v>0</v>
      </c>
      <c r="T653" s="23">
        <v>4.4000000000000004</v>
      </c>
      <c r="U653" s="23">
        <v>4.4400000000000004</v>
      </c>
      <c r="V653" s="5" t="s">
        <v>10</v>
      </c>
      <c r="W653" s="4">
        <v>64778</v>
      </c>
      <c r="X653" s="4">
        <v>220000</v>
      </c>
      <c r="Y653" s="14">
        <v>43355</v>
      </c>
      <c r="Z653" s="14">
        <v>45366</v>
      </c>
      <c r="AA653" s="2"/>
      <c r="AB653" s="69" t="s">
        <v>3892</v>
      </c>
      <c r="AC653" s="5" t="s">
        <v>4178</v>
      </c>
      <c r="AD653" s="2"/>
      <c r="AE653" s="9">
        <v>45337</v>
      </c>
      <c r="AF653" s="23">
        <v>100</v>
      </c>
      <c r="AG653" s="6"/>
      <c r="AH653" s="5" t="s">
        <v>2880</v>
      </c>
      <c r="AI653" s="5" t="s">
        <v>3743</v>
      </c>
      <c r="AJ653" s="5" t="s">
        <v>3744</v>
      </c>
      <c r="AK653" s="21" t="s">
        <v>2</v>
      </c>
      <c r="AL653" s="72" t="s">
        <v>3894</v>
      </c>
      <c r="AM653" s="54" t="s">
        <v>4179</v>
      </c>
      <c r="AN653" s="34" t="s">
        <v>828</v>
      </c>
    </row>
    <row r="654" spans="2:40" x14ac:dyDescent="0.3">
      <c r="B654" s="18" t="s">
        <v>4359</v>
      </c>
      <c r="C654" s="47" t="s">
        <v>3745</v>
      </c>
      <c r="D654" s="15" t="s">
        <v>2881</v>
      </c>
      <c r="E654" s="68" t="s">
        <v>2</v>
      </c>
      <c r="F654" s="55" t="s">
        <v>2</v>
      </c>
      <c r="G654" s="40" t="s">
        <v>2745</v>
      </c>
      <c r="H654" s="71" t="s">
        <v>3894</v>
      </c>
      <c r="I654" s="67" t="s">
        <v>1164</v>
      </c>
      <c r="J654" s="73" t="s">
        <v>270</v>
      </c>
      <c r="K654" s="4">
        <v>2996760</v>
      </c>
      <c r="L654" s="41">
        <v>94.045000000000002</v>
      </c>
      <c r="M654" s="4">
        <v>2821350</v>
      </c>
      <c r="N654" s="4">
        <v>3000000</v>
      </c>
      <c r="O654" s="4">
        <v>2998318</v>
      </c>
      <c r="P654" s="4">
        <v>0</v>
      </c>
      <c r="Q654" s="4">
        <v>648</v>
      </c>
      <c r="R654" s="4">
        <v>0</v>
      </c>
      <c r="S654" s="4">
        <v>0</v>
      </c>
      <c r="T654" s="23">
        <v>3.2</v>
      </c>
      <c r="U654" s="23">
        <v>3.2240000000000002</v>
      </c>
      <c r="V654" s="5" t="s">
        <v>3898</v>
      </c>
      <c r="W654" s="4">
        <v>4267</v>
      </c>
      <c r="X654" s="4">
        <v>96000</v>
      </c>
      <c r="Y654" s="14">
        <v>43998</v>
      </c>
      <c r="Z654" s="14">
        <v>45823</v>
      </c>
      <c r="AA654" s="2"/>
      <c r="AB654" s="69" t="s">
        <v>3892</v>
      </c>
      <c r="AC654" s="5" t="s">
        <v>4178</v>
      </c>
      <c r="AD654" s="2"/>
      <c r="AE654" s="14">
        <v>45792</v>
      </c>
      <c r="AF654" s="23">
        <v>100</v>
      </c>
      <c r="AG654" s="10"/>
      <c r="AH654" s="5" t="s">
        <v>2880</v>
      </c>
      <c r="AI654" s="5" t="s">
        <v>3521</v>
      </c>
      <c r="AJ654" s="5" t="s">
        <v>3521</v>
      </c>
      <c r="AK654" s="21" t="s">
        <v>2</v>
      </c>
      <c r="AL654" s="72" t="s">
        <v>3894</v>
      </c>
      <c r="AM654" s="54" t="s">
        <v>4179</v>
      </c>
      <c r="AN654" s="34" t="s">
        <v>828</v>
      </c>
    </row>
    <row r="655" spans="2:40" x14ac:dyDescent="0.3">
      <c r="B655" s="18" t="s">
        <v>1273</v>
      </c>
      <c r="C655" s="47" t="s">
        <v>4360</v>
      </c>
      <c r="D655" s="15" t="s">
        <v>2615</v>
      </c>
      <c r="E655" s="68" t="s">
        <v>2</v>
      </c>
      <c r="F655" s="55" t="s">
        <v>2</v>
      </c>
      <c r="G655" s="40" t="s">
        <v>2745</v>
      </c>
      <c r="H655" s="71" t="s">
        <v>3894</v>
      </c>
      <c r="I655" s="67" t="s">
        <v>8</v>
      </c>
      <c r="J655" s="73" t="s">
        <v>270</v>
      </c>
      <c r="K655" s="4">
        <v>9985895</v>
      </c>
      <c r="L655" s="41">
        <v>94.03</v>
      </c>
      <c r="M655" s="4">
        <v>9685090</v>
      </c>
      <c r="N655" s="4">
        <v>10300000</v>
      </c>
      <c r="O655" s="4">
        <v>10141163</v>
      </c>
      <c r="P655" s="4">
        <v>0</v>
      </c>
      <c r="Q655" s="4">
        <v>39628</v>
      </c>
      <c r="R655" s="4">
        <v>0</v>
      </c>
      <c r="S655" s="4">
        <v>0</v>
      </c>
      <c r="T655" s="23">
        <v>3.6</v>
      </c>
      <c r="U655" s="23">
        <v>4.0599999999999996</v>
      </c>
      <c r="V655" s="5" t="s">
        <v>268</v>
      </c>
      <c r="W655" s="4">
        <v>140080</v>
      </c>
      <c r="X655" s="4">
        <v>370800</v>
      </c>
      <c r="Y655" s="14">
        <v>43627</v>
      </c>
      <c r="Z655" s="14">
        <v>46249</v>
      </c>
      <c r="AA655" s="2"/>
      <c r="AB655" s="69" t="s">
        <v>3892</v>
      </c>
      <c r="AC655" s="5" t="s">
        <v>4178</v>
      </c>
      <c r="AD655" s="2"/>
      <c r="AE655" s="14">
        <v>46157</v>
      </c>
      <c r="AF655" s="23">
        <v>100</v>
      </c>
      <c r="AG655" s="6"/>
      <c r="AH655" s="5" t="s">
        <v>2400</v>
      </c>
      <c r="AI655" s="5" t="s">
        <v>2615</v>
      </c>
      <c r="AJ655" s="5" t="s">
        <v>2</v>
      </c>
      <c r="AK655" s="21" t="s">
        <v>2</v>
      </c>
      <c r="AL655" s="72" t="s">
        <v>3894</v>
      </c>
      <c r="AM655" s="54" t="s">
        <v>4179</v>
      </c>
      <c r="AN655" s="34" t="s">
        <v>1189</v>
      </c>
    </row>
    <row r="656" spans="2:40" x14ac:dyDescent="0.3">
      <c r="B656" s="18" t="s">
        <v>3224</v>
      </c>
      <c r="C656" s="47" t="s">
        <v>125</v>
      </c>
      <c r="D656" s="15" t="s">
        <v>3742</v>
      </c>
      <c r="E656" s="68" t="s">
        <v>2</v>
      </c>
      <c r="F656" s="55" t="s">
        <v>2</v>
      </c>
      <c r="G656" s="40" t="s">
        <v>2745</v>
      </c>
      <c r="H656" s="71" t="s">
        <v>3894</v>
      </c>
      <c r="I656" s="67" t="s">
        <v>8</v>
      </c>
      <c r="J656" s="73" t="s">
        <v>270</v>
      </c>
      <c r="K656" s="4">
        <v>5006550</v>
      </c>
      <c r="L656" s="41">
        <v>92.096000000000004</v>
      </c>
      <c r="M656" s="4">
        <v>4604800</v>
      </c>
      <c r="N656" s="4">
        <v>5000000</v>
      </c>
      <c r="O656" s="4">
        <v>5004045</v>
      </c>
      <c r="P656" s="4">
        <v>0</v>
      </c>
      <c r="Q656" s="4">
        <v>-799</v>
      </c>
      <c r="R656" s="4">
        <v>0</v>
      </c>
      <c r="S656" s="4">
        <v>0</v>
      </c>
      <c r="T656" s="23">
        <v>3.375</v>
      </c>
      <c r="U656" s="23">
        <v>3.3559999999999999</v>
      </c>
      <c r="V656" s="5" t="s">
        <v>10</v>
      </c>
      <c r="W656" s="4">
        <v>49688</v>
      </c>
      <c r="X656" s="4">
        <v>168750</v>
      </c>
      <c r="Y656" s="14">
        <v>43642</v>
      </c>
      <c r="Z656" s="14">
        <v>46645</v>
      </c>
      <c r="AA656" s="2"/>
      <c r="AB656" s="69" t="s">
        <v>3892</v>
      </c>
      <c r="AC656" s="5" t="s">
        <v>4178</v>
      </c>
      <c r="AD656" s="2"/>
      <c r="AE656" s="14">
        <v>46553</v>
      </c>
      <c r="AF656" s="23">
        <v>100</v>
      </c>
      <c r="AG656" s="9">
        <v>46553</v>
      </c>
      <c r="AH656" s="5" t="s">
        <v>1272</v>
      </c>
      <c r="AI656" s="5" t="s">
        <v>3742</v>
      </c>
      <c r="AJ656" s="5" t="s">
        <v>2</v>
      </c>
      <c r="AK656" s="21" t="s">
        <v>2</v>
      </c>
      <c r="AL656" s="72" t="s">
        <v>3894</v>
      </c>
      <c r="AM656" s="54" t="s">
        <v>4179</v>
      </c>
      <c r="AN656" s="34" t="s">
        <v>1189</v>
      </c>
    </row>
    <row r="657" spans="2:40" x14ac:dyDescent="0.3">
      <c r="B657" s="18" t="s">
        <v>4361</v>
      </c>
      <c r="C657" s="47" t="s">
        <v>2401</v>
      </c>
      <c r="D657" s="15" t="s">
        <v>126</v>
      </c>
      <c r="E657" s="68" t="s">
        <v>2</v>
      </c>
      <c r="F657" s="55" t="s">
        <v>2</v>
      </c>
      <c r="G657" s="40" t="s">
        <v>2745</v>
      </c>
      <c r="H657" s="71" t="s">
        <v>3894</v>
      </c>
      <c r="I657" s="67" t="s">
        <v>8</v>
      </c>
      <c r="J657" s="73" t="s">
        <v>270</v>
      </c>
      <c r="K657" s="4">
        <v>9698760</v>
      </c>
      <c r="L657" s="41">
        <v>94.406000000000006</v>
      </c>
      <c r="M657" s="4">
        <v>8496540</v>
      </c>
      <c r="N657" s="4">
        <v>9000000</v>
      </c>
      <c r="O657" s="4">
        <v>9447403</v>
      </c>
      <c r="P657" s="4">
        <v>0</v>
      </c>
      <c r="Q657" s="4">
        <v>-99644</v>
      </c>
      <c r="R657" s="4">
        <v>0</v>
      </c>
      <c r="S657" s="4">
        <v>0</v>
      </c>
      <c r="T657" s="23">
        <v>3.75</v>
      </c>
      <c r="U657" s="23">
        <v>2.4980000000000002</v>
      </c>
      <c r="V657" s="5" t="s">
        <v>3898</v>
      </c>
      <c r="W657" s="4">
        <v>15000</v>
      </c>
      <c r="X657" s="4">
        <v>337500</v>
      </c>
      <c r="Y657" s="14">
        <v>43985</v>
      </c>
      <c r="Z657" s="14">
        <v>46553</v>
      </c>
      <c r="AA657" s="2"/>
      <c r="AB657" s="69" t="s">
        <v>3892</v>
      </c>
      <c r="AC657" s="5" t="s">
        <v>4178</v>
      </c>
      <c r="AD657" s="2"/>
      <c r="AE657" s="9">
        <v>46461</v>
      </c>
      <c r="AF657" s="23">
        <v>100</v>
      </c>
      <c r="AG657" s="9">
        <v>46461</v>
      </c>
      <c r="AH657" s="5" t="s">
        <v>2085</v>
      </c>
      <c r="AI657" s="5" t="s">
        <v>126</v>
      </c>
      <c r="AJ657" s="5" t="s">
        <v>2</v>
      </c>
      <c r="AK657" s="21" t="s">
        <v>2</v>
      </c>
      <c r="AL657" s="72" t="s">
        <v>3894</v>
      </c>
      <c r="AM657" s="54" t="s">
        <v>4179</v>
      </c>
      <c r="AN657" s="34" t="s">
        <v>1189</v>
      </c>
    </row>
    <row r="658" spans="2:40" x14ac:dyDescent="0.3">
      <c r="B658" s="18" t="s">
        <v>968</v>
      </c>
      <c r="C658" s="47" t="s">
        <v>969</v>
      </c>
      <c r="D658" s="15" t="s">
        <v>1492</v>
      </c>
      <c r="E658" s="68" t="s">
        <v>2</v>
      </c>
      <c r="F658" s="55" t="s">
        <v>2</v>
      </c>
      <c r="G658" s="40" t="s">
        <v>2745</v>
      </c>
      <c r="H658" s="71" t="s">
        <v>3894</v>
      </c>
      <c r="I658" s="67" t="s">
        <v>8</v>
      </c>
      <c r="J658" s="73" t="s">
        <v>270</v>
      </c>
      <c r="K658" s="4">
        <v>2997420</v>
      </c>
      <c r="L658" s="41">
        <v>97.384</v>
      </c>
      <c r="M658" s="4">
        <v>2921520</v>
      </c>
      <c r="N658" s="4">
        <v>3000000</v>
      </c>
      <c r="O658" s="4">
        <v>2999442</v>
      </c>
      <c r="P658" s="4">
        <v>0</v>
      </c>
      <c r="Q658" s="4">
        <v>390</v>
      </c>
      <c r="R658" s="4">
        <v>0</v>
      </c>
      <c r="S658" s="4">
        <v>0</v>
      </c>
      <c r="T658" s="23">
        <v>3.6</v>
      </c>
      <c r="U658" s="23">
        <v>3.6139999999999999</v>
      </c>
      <c r="V658" s="5" t="s">
        <v>3409</v>
      </c>
      <c r="W658" s="4">
        <v>13800</v>
      </c>
      <c r="X658" s="4">
        <v>108000</v>
      </c>
      <c r="Y658" s="14">
        <v>42866</v>
      </c>
      <c r="Z658" s="14">
        <v>45427</v>
      </c>
      <c r="AA658" s="2"/>
      <c r="AB658" s="69" t="s">
        <v>3892</v>
      </c>
      <c r="AC658" s="5" t="s">
        <v>4178</v>
      </c>
      <c r="AD658" s="2"/>
      <c r="AE658" s="9">
        <v>45366</v>
      </c>
      <c r="AF658" s="23">
        <v>100</v>
      </c>
      <c r="AG658" s="6"/>
      <c r="AH658" s="5" t="s">
        <v>2</v>
      </c>
      <c r="AI658" s="5" t="s">
        <v>1492</v>
      </c>
      <c r="AJ658" s="5" t="s">
        <v>2</v>
      </c>
      <c r="AK658" s="21" t="s">
        <v>2</v>
      </c>
      <c r="AL658" s="72" t="s">
        <v>3894</v>
      </c>
      <c r="AM658" s="54" t="s">
        <v>4179</v>
      </c>
      <c r="AN658" s="34" t="s">
        <v>1189</v>
      </c>
    </row>
    <row r="659" spans="2:40" x14ac:dyDescent="0.3">
      <c r="B659" s="18" t="s">
        <v>2086</v>
      </c>
      <c r="C659" s="47" t="s">
        <v>2087</v>
      </c>
      <c r="D659" s="15" t="s">
        <v>1492</v>
      </c>
      <c r="E659" s="68" t="s">
        <v>2</v>
      </c>
      <c r="F659" s="55" t="s">
        <v>2</v>
      </c>
      <c r="G659" s="40" t="s">
        <v>2745</v>
      </c>
      <c r="H659" s="71" t="s">
        <v>3894</v>
      </c>
      <c r="I659" s="67" t="s">
        <v>8</v>
      </c>
      <c r="J659" s="73" t="s">
        <v>270</v>
      </c>
      <c r="K659" s="4">
        <v>4597930</v>
      </c>
      <c r="L659" s="41">
        <v>96.831999999999994</v>
      </c>
      <c r="M659" s="4">
        <v>4454272</v>
      </c>
      <c r="N659" s="4">
        <v>4600000</v>
      </c>
      <c r="O659" s="4">
        <v>4598334</v>
      </c>
      <c r="P659" s="4">
        <v>0</v>
      </c>
      <c r="Q659" s="4">
        <v>404</v>
      </c>
      <c r="R659" s="4">
        <v>0</v>
      </c>
      <c r="S659" s="4">
        <v>0</v>
      </c>
      <c r="T659" s="23">
        <v>4.6500000000000004</v>
      </c>
      <c r="U659" s="23">
        <v>4.6589999999999998</v>
      </c>
      <c r="V659" s="5" t="s">
        <v>3898</v>
      </c>
      <c r="W659" s="4">
        <v>9507</v>
      </c>
      <c r="X659" s="4">
        <v>122398</v>
      </c>
      <c r="Y659" s="14">
        <v>44693</v>
      </c>
      <c r="Z659" s="14">
        <v>46553</v>
      </c>
      <c r="AA659" s="2"/>
      <c r="AB659" s="69" t="s">
        <v>3892</v>
      </c>
      <c r="AC659" s="5" t="s">
        <v>4178</v>
      </c>
      <c r="AD659" s="2"/>
      <c r="AE659" s="14">
        <v>46522</v>
      </c>
      <c r="AF659" s="23">
        <v>100</v>
      </c>
      <c r="AG659" s="10"/>
      <c r="AH659" s="5" t="s">
        <v>2</v>
      </c>
      <c r="AI659" s="5" t="s">
        <v>1492</v>
      </c>
      <c r="AJ659" s="5" t="s">
        <v>2</v>
      </c>
      <c r="AK659" s="21" t="s">
        <v>2</v>
      </c>
      <c r="AL659" s="72" t="s">
        <v>3894</v>
      </c>
      <c r="AM659" s="54" t="s">
        <v>4179</v>
      </c>
      <c r="AN659" s="34" t="s">
        <v>1189</v>
      </c>
    </row>
    <row r="660" spans="2:40" x14ac:dyDescent="0.3">
      <c r="B660" s="18" t="s">
        <v>3225</v>
      </c>
      <c r="C660" s="47" t="s">
        <v>2402</v>
      </c>
      <c r="D660" s="15" t="s">
        <v>127</v>
      </c>
      <c r="E660" s="68" t="s">
        <v>2</v>
      </c>
      <c r="F660" s="55" t="s">
        <v>2</v>
      </c>
      <c r="G660" s="40" t="s">
        <v>2</v>
      </c>
      <c r="H660" s="71" t="s">
        <v>2745</v>
      </c>
      <c r="I660" s="67" t="s">
        <v>287</v>
      </c>
      <c r="J660" s="73" t="s">
        <v>2</v>
      </c>
      <c r="K660" s="4">
        <v>5000000</v>
      </c>
      <c r="L660" s="41">
        <v>94.988</v>
      </c>
      <c r="M660" s="4">
        <v>4749400</v>
      </c>
      <c r="N660" s="4">
        <v>5000000</v>
      </c>
      <c r="O660" s="4">
        <v>5000000</v>
      </c>
      <c r="P660" s="4">
        <v>0</v>
      </c>
      <c r="Q660" s="4">
        <v>0</v>
      </c>
      <c r="R660" s="4">
        <v>0</v>
      </c>
      <c r="S660" s="4">
        <v>0</v>
      </c>
      <c r="T660" s="23">
        <v>2.38</v>
      </c>
      <c r="U660" s="23">
        <v>2.38</v>
      </c>
      <c r="V660" s="5" t="s">
        <v>3409</v>
      </c>
      <c r="W660" s="4">
        <v>19833</v>
      </c>
      <c r="X660" s="4">
        <v>119000</v>
      </c>
      <c r="Y660" s="14">
        <v>43762</v>
      </c>
      <c r="Z660" s="14">
        <v>45597</v>
      </c>
      <c r="AA660" s="2"/>
      <c r="AB660" s="69" t="s">
        <v>1671</v>
      </c>
      <c r="AC660" s="5" t="s">
        <v>2</v>
      </c>
      <c r="AD660" s="2"/>
      <c r="AE660" s="10"/>
      <c r="AF660" s="23"/>
      <c r="AG660" s="6"/>
      <c r="AH660" s="5" t="s">
        <v>1493</v>
      </c>
      <c r="AI660" s="5" t="s">
        <v>127</v>
      </c>
      <c r="AJ660" s="5" t="s">
        <v>2</v>
      </c>
      <c r="AK660" s="21" t="s">
        <v>2</v>
      </c>
      <c r="AL660" s="72" t="s">
        <v>3894</v>
      </c>
      <c r="AM660" s="54" t="s">
        <v>4179</v>
      </c>
      <c r="AN660" s="34" t="s">
        <v>3946</v>
      </c>
    </row>
    <row r="661" spans="2:40" x14ac:dyDescent="0.3">
      <c r="B661" s="18" t="s">
        <v>4362</v>
      </c>
      <c r="C661" s="47" t="s">
        <v>2616</v>
      </c>
      <c r="D661" s="15" t="s">
        <v>3226</v>
      </c>
      <c r="E661" s="68" t="s">
        <v>2</v>
      </c>
      <c r="F661" s="55" t="s">
        <v>2</v>
      </c>
      <c r="G661" s="40" t="s">
        <v>2</v>
      </c>
      <c r="H661" s="71" t="s">
        <v>3894</v>
      </c>
      <c r="I661" s="67" t="s">
        <v>3408</v>
      </c>
      <c r="J661" s="73" t="s">
        <v>270</v>
      </c>
      <c r="K661" s="4">
        <v>3000000</v>
      </c>
      <c r="L661" s="41">
        <v>96.691000000000003</v>
      </c>
      <c r="M661" s="4">
        <v>2900730</v>
      </c>
      <c r="N661" s="4">
        <v>3000000</v>
      </c>
      <c r="O661" s="4">
        <v>3000000</v>
      </c>
      <c r="P661" s="4">
        <v>0</v>
      </c>
      <c r="Q661" s="4">
        <v>0</v>
      </c>
      <c r="R661" s="4">
        <v>0</v>
      </c>
      <c r="S661" s="4">
        <v>0</v>
      </c>
      <c r="T661" s="23">
        <v>3.44</v>
      </c>
      <c r="U661" s="23">
        <v>3.44</v>
      </c>
      <c r="V661" s="5" t="s">
        <v>3409</v>
      </c>
      <c r="W661" s="4">
        <v>8887</v>
      </c>
      <c r="X661" s="4">
        <v>103200</v>
      </c>
      <c r="Y661" s="14">
        <v>43069</v>
      </c>
      <c r="Z661" s="14">
        <v>45626</v>
      </c>
      <c r="AA661" s="2"/>
      <c r="AB661" s="69" t="s">
        <v>2783</v>
      </c>
      <c r="AC661" s="5" t="s">
        <v>2</v>
      </c>
      <c r="AD661" s="2"/>
      <c r="AE661" s="10"/>
      <c r="AF661" s="23"/>
      <c r="AG661" s="6"/>
      <c r="AH661" s="5" t="s">
        <v>2</v>
      </c>
      <c r="AI661" s="5" t="s">
        <v>3226</v>
      </c>
      <c r="AJ661" s="5" t="s">
        <v>2</v>
      </c>
      <c r="AK661" s="21" t="s">
        <v>2</v>
      </c>
      <c r="AL661" s="72" t="s">
        <v>3894</v>
      </c>
      <c r="AM661" s="54" t="s">
        <v>4179</v>
      </c>
      <c r="AN661" s="34" t="s">
        <v>1650</v>
      </c>
    </row>
    <row r="662" spans="2:40" x14ac:dyDescent="0.3">
      <c r="B662" s="18" t="s">
        <v>970</v>
      </c>
      <c r="C662" s="47" t="s">
        <v>3227</v>
      </c>
      <c r="D662" s="15" t="s">
        <v>1763</v>
      </c>
      <c r="E662" s="68" t="s">
        <v>2</v>
      </c>
      <c r="F662" s="55" t="s">
        <v>2</v>
      </c>
      <c r="G662" s="40" t="s">
        <v>2745</v>
      </c>
      <c r="H662" s="71" t="s">
        <v>3894</v>
      </c>
      <c r="I662" s="67" t="s">
        <v>8</v>
      </c>
      <c r="J662" s="73" t="s">
        <v>270</v>
      </c>
      <c r="K662" s="4">
        <v>9950100</v>
      </c>
      <c r="L662" s="41">
        <v>86.084000000000003</v>
      </c>
      <c r="M662" s="4">
        <v>8608400</v>
      </c>
      <c r="N662" s="4">
        <v>10000000</v>
      </c>
      <c r="O662" s="4">
        <v>9965859</v>
      </c>
      <c r="P662" s="4">
        <v>0</v>
      </c>
      <c r="Q662" s="4">
        <v>6319</v>
      </c>
      <c r="R662" s="4">
        <v>0</v>
      </c>
      <c r="S662" s="4">
        <v>0</v>
      </c>
      <c r="T662" s="23">
        <v>1.95</v>
      </c>
      <c r="U662" s="23">
        <v>2.0209999999999999</v>
      </c>
      <c r="V662" s="5" t="s">
        <v>1916</v>
      </c>
      <c r="W662" s="4">
        <v>81792</v>
      </c>
      <c r="X662" s="4">
        <v>195000</v>
      </c>
      <c r="Y662" s="14">
        <v>44006</v>
      </c>
      <c r="Z662" s="14">
        <v>46782</v>
      </c>
      <c r="AA662" s="2"/>
      <c r="AB662" s="69" t="s">
        <v>3892</v>
      </c>
      <c r="AC662" s="5" t="s">
        <v>4178</v>
      </c>
      <c r="AD662" s="2"/>
      <c r="AE662" s="9">
        <v>46721</v>
      </c>
      <c r="AF662" s="23">
        <v>100</v>
      </c>
      <c r="AG662" s="6"/>
      <c r="AH662" s="5" t="s">
        <v>2</v>
      </c>
      <c r="AI662" s="5" t="s">
        <v>1763</v>
      </c>
      <c r="AJ662" s="5" t="s">
        <v>2</v>
      </c>
      <c r="AK662" s="21" t="s">
        <v>2</v>
      </c>
      <c r="AL662" s="72" t="s">
        <v>3894</v>
      </c>
      <c r="AM662" s="54" t="s">
        <v>4179</v>
      </c>
      <c r="AN662" s="34" t="s">
        <v>1189</v>
      </c>
    </row>
    <row r="663" spans="2:40" x14ac:dyDescent="0.3">
      <c r="B663" s="18" t="s">
        <v>2403</v>
      </c>
      <c r="C663" s="47" t="s">
        <v>1274</v>
      </c>
      <c r="D663" s="15" t="s">
        <v>3522</v>
      </c>
      <c r="E663" s="68" t="s">
        <v>2</v>
      </c>
      <c r="F663" s="55" t="s">
        <v>2</v>
      </c>
      <c r="G663" s="40" t="s">
        <v>2</v>
      </c>
      <c r="H663" s="71" t="s">
        <v>2745</v>
      </c>
      <c r="I663" s="67" t="s">
        <v>287</v>
      </c>
      <c r="J663" s="73" t="s">
        <v>2</v>
      </c>
      <c r="K663" s="4">
        <v>5000000</v>
      </c>
      <c r="L663" s="41">
        <v>87.89</v>
      </c>
      <c r="M663" s="4">
        <v>4394500</v>
      </c>
      <c r="N663" s="4">
        <v>5000000</v>
      </c>
      <c r="O663" s="4">
        <v>5000000</v>
      </c>
      <c r="P663" s="4">
        <v>0</v>
      </c>
      <c r="Q663" s="4">
        <v>0</v>
      </c>
      <c r="R663" s="4">
        <v>0</v>
      </c>
      <c r="S663" s="4">
        <v>0</v>
      </c>
      <c r="T663" s="23">
        <v>1.38</v>
      </c>
      <c r="U663" s="23">
        <v>1.38</v>
      </c>
      <c r="V663" s="5" t="s">
        <v>268</v>
      </c>
      <c r="W663" s="4">
        <v>26067</v>
      </c>
      <c r="X663" s="4">
        <v>66125</v>
      </c>
      <c r="Y663" s="14">
        <v>44439</v>
      </c>
      <c r="Z663" s="14">
        <v>46249</v>
      </c>
      <c r="AA663" s="2"/>
      <c r="AB663" s="69" t="s">
        <v>1671</v>
      </c>
      <c r="AC663" s="5" t="s">
        <v>2</v>
      </c>
      <c r="AD663" s="2"/>
      <c r="AE663" s="6"/>
      <c r="AF663" s="23"/>
      <c r="AG663" s="6"/>
      <c r="AH663" s="5" t="s">
        <v>2882</v>
      </c>
      <c r="AI663" s="5" t="s">
        <v>3522</v>
      </c>
      <c r="AJ663" s="5" t="s">
        <v>2</v>
      </c>
      <c r="AK663" s="21" t="s">
        <v>2</v>
      </c>
      <c r="AL663" s="72" t="s">
        <v>2745</v>
      </c>
      <c r="AM663" s="54" t="s">
        <v>4179</v>
      </c>
      <c r="AN663" s="34" t="s">
        <v>3946</v>
      </c>
    </row>
    <row r="664" spans="2:40" x14ac:dyDescent="0.3">
      <c r="B664" s="18" t="s">
        <v>3523</v>
      </c>
      <c r="C664" s="47" t="s">
        <v>971</v>
      </c>
      <c r="D664" s="15" t="s">
        <v>1275</v>
      </c>
      <c r="E664" s="68" t="s">
        <v>2</v>
      </c>
      <c r="F664" s="55" t="s">
        <v>2</v>
      </c>
      <c r="G664" s="40" t="s">
        <v>2745</v>
      </c>
      <c r="H664" s="71" t="s">
        <v>3894</v>
      </c>
      <c r="I664" s="67" t="s">
        <v>8</v>
      </c>
      <c r="J664" s="73" t="s">
        <v>270</v>
      </c>
      <c r="K664" s="4">
        <v>4722050</v>
      </c>
      <c r="L664" s="41">
        <v>96.6</v>
      </c>
      <c r="M664" s="4">
        <v>4830000</v>
      </c>
      <c r="N664" s="4">
        <v>5000000</v>
      </c>
      <c r="O664" s="4">
        <v>4892388</v>
      </c>
      <c r="P664" s="4">
        <v>0</v>
      </c>
      <c r="Q664" s="4">
        <v>44457</v>
      </c>
      <c r="R664" s="4">
        <v>0</v>
      </c>
      <c r="S664" s="4">
        <v>0</v>
      </c>
      <c r="T664" s="23">
        <v>3.55</v>
      </c>
      <c r="U664" s="23">
        <v>4.5679999999999996</v>
      </c>
      <c r="V664" s="5" t="s">
        <v>3895</v>
      </c>
      <c r="W664" s="4">
        <v>44375</v>
      </c>
      <c r="X664" s="4">
        <v>177500</v>
      </c>
      <c r="Y664" s="14">
        <v>43425</v>
      </c>
      <c r="Z664" s="14">
        <v>45748</v>
      </c>
      <c r="AA664" s="2"/>
      <c r="AB664" s="69" t="s">
        <v>3892</v>
      </c>
      <c r="AC664" s="5" t="s">
        <v>4178</v>
      </c>
      <c r="AD664" s="2"/>
      <c r="AE664" s="9">
        <v>45658</v>
      </c>
      <c r="AF664" s="23">
        <v>100</v>
      </c>
      <c r="AG664" s="6"/>
      <c r="AH664" s="5" t="s">
        <v>972</v>
      </c>
      <c r="AI664" s="5" t="s">
        <v>1275</v>
      </c>
      <c r="AJ664" s="5" t="s">
        <v>2</v>
      </c>
      <c r="AK664" s="21" t="s">
        <v>2</v>
      </c>
      <c r="AL664" s="72" t="s">
        <v>3894</v>
      </c>
      <c r="AM664" s="54" t="s">
        <v>4179</v>
      </c>
      <c r="AN664" s="34" t="s">
        <v>1189</v>
      </c>
    </row>
    <row r="665" spans="2:40" x14ac:dyDescent="0.3">
      <c r="B665" s="18" t="s">
        <v>128</v>
      </c>
      <c r="C665" s="47" t="s">
        <v>3228</v>
      </c>
      <c r="D665" s="15" t="s">
        <v>1275</v>
      </c>
      <c r="E665" s="68" t="s">
        <v>2</v>
      </c>
      <c r="F665" s="55" t="s">
        <v>2</v>
      </c>
      <c r="G665" s="40" t="s">
        <v>2745</v>
      </c>
      <c r="H665" s="71" t="s">
        <v>3894</v>
      </c>
      <c r="I665" s="67" t="s">
        <v>8</v>
      </c>
      <c r="J665" s="73" t="s">
        <v>270</v>
      </c>
      <c r="K665" s="4">
        <v>2995260</v>
      </c>
      <c r="L665" s="41">
        <v>99.71</v>
      </c>
      <c r="M665" s="4">
        <v>2991300</v>
      </c>
      <c r="N665" s="4">
        <v>3000000</v>
      </c>
      <c r="O665" s="4">
        <v>2999777</v>
      </c>
      <c r="P665" s="4">
        <v>0</v>
      </c>
      <c r="Q665" s="4">
        <v>1011</v>
      </c>
      <c r="R665" s="4">
        <v>0</v>
      </c>
      <c r="S665" s="4">
        <v>0</v>
      </c>
      <c r="T665" s="23">
        <v>3.7</v>
      </c>
      <c r="U665" s="23">
        <v>3.7349999999999999</v>
      </c>
      <c r="V665" s="5" t="s">
        <v>10</v>
      </c>
      <c r="W665" s="4">
        <v>31450</v>
      </c>
      <c r="X665" s="4">
        <v>111000</v>
      </c>
      <c r="Y665" s="14">
        <v>43167</v>
      </c>
      <c r="Z665" s="14">
        <v>45004</v>
      </c>
      <c r="AA665" s="2"/>
      <c r="AB665" s="69" t="s">
        <v>3892</v>
      </c>
      <c r="AC665" s="5" t="s">
        <v>7</v>
      </c>
      <c r="AD665" s="2"/>
      <c r="AE665" s="9">
        <v>44976</v>
      </c>
      <c r="AF665" s="23">
        <v>100</v>
      </c>
      <c r="AG665" s="6"/>
      <c r="AH665" s="5" t="s">
        <v>972</v>
      </c>
      <c r="AI665" s="5" t="s">
        <v>1275</v>
      </c>
      <c r="AJ665" s="5" t="s">
        <v>2</v>
      </c>
      <c r="AK665" s="21" t="s">
        <v>2</v>
      </c>
      <c r="AL665" s="72" t="s">
        <v>3894</v>
      </c>
      <c r="AM665" s="54" t="s">
        <v>4179</v>
      </c>
      <c r="AN665" s="34" t="s">
        <v>1189</v>
      </c>
    </row>
    <row r="666" spans="2:40" x14ac:dyDescent="0.3">
      <c r="B666" s="18" t="s">
        <v>2088</v>
      </c>
      <c r="C666" s="47" t="s">
        <v>618</v>
      </c>
      <c r="D666" s="15" t="s">
        <v>3524</v>
      </c>
      <c r="E666" s="68" t="s">
        <v>2</v>
      </c>
      <c r="F666" s="55" t="s">
        <v>2</v>
      </c>
      <c r="G666" s="40" t="s">
        <v>2</v>
      </c>
      <c r="H666" s="71" t="s">
        <v>3894</v>
      </c>
      <c r="I666" s="67" t="s">
        <v>8</v>
      </c>
      <c r="J666" s="73" t="s">
        <v>2</v>
      </c>
      <c r="K666" s="4">
        <v>2000000</v>
      </c>
      <c r="L666" s="41">
        <v>98.045000000000002</v>
      </c>
      <c r="M666" s="4">
        <v>1960900</v>
      </c>
      <c r="N666" s="4">
        <v>2000000</v>
      </c>
      <c r="O666" s="4">
        <v>2000000</v>
      </c>
      <c r="P666" s="4">
        <v>0</v>
      </c>
      <c r="Q666" s="4">
        <v>0</v>
      </c>
      <c r="R666" s="4">
        <v>0</v>
      </c>
      <c r="S666" s="4">
        <v>0</v>
      </c>
      <c r="T666" s="23">
        <v>3.92</v>
      </c>
      <c r="U666" s="23">
        <v>3.92</v>
      </c>
      <c r="V666" s="5" t="s">
        <v>3898</v>
      </c>
      <c r="W666" s="4">
        <v>3702</v>
      </c>
      <c r="X666" s="4">
        <v>78400</v>
      </c>
      <c r="Y666" s="14">
        <v>42718</v>
      </c>
      <c r="Z666" s="14">
        <v>45274</v>
      </c>
      <c r="AA666" s="2"/>
      <c r="AB666" s="69" t="s">
        <v>1671</v>
      </c>
      <c r="AC666" s="5" t="s">
        <v>2</v>
      </c>
      <c r="AD666" s="2"/>
      <c r="AE666" s="6"/>
      <c r="AF666" s="23"/>
      <c r="AG666" s="6"/>
      <c r="AH666" s="5" t="s">
        <v>2</v>
      </c>
      <c r="AI666" s="5" t="s">
        <v>3524</v>
      </c>
      <c r="AJ666" s="5" t="s">
        <v>2</v>
      </c>
      <c r="AK666" s="21" t="s">
        <v>2</v>
      </c>
      <c r="AL666" s="72" t="s">
        <v>3894</v>
      </c>
      <c r="AM666" s="54" t="s">
        <v>4179</v>
      </c>
      <c r="AN666" s="34" t="s">
        <v>1439</v>
      </c>
    </row>
    <row r="667" spans="2:40" x14ac:dyDescent="0.3">
      <c r="B667" s="18" t="s">
        <v>3229</v>
      </c>
      <c r="C667" s="47" t="s">
        <v>4021</v>
      </c>
      <c r="D667" s="15" t="s">
        <v>3230</v>
      </c>
      <c r="E667" s="68" t="s">
        <v>2</v>
      </c>
      <c r="F667" s="55" t="s">
        <v>3408</v>
      </c>
      <c r="G667" s="40" t="s">
        <v>2</v>
      </c>
      <c r="H667" s="71" t="s">
        <v>3894</v>
      </c>
      <c r="I667" s="67" t="s">
        <v>3408</v>
      </c>
      <c r="J667" s="73" t="s">
        <v>270</v>
      </c>
      <c r="K667" s="4">
        <v>2000000</v>
      </c>
      <c r="L667" s="41">
        <v>97.935000000000002</v>
      </c>
      <c r="M667" s="4">
        <v>1958700</v>
      </c>
      <c r="N667" s="4">
        <v>2000000</v>
      </c>
      <c r="O667" s="4">
        <v>2000000</v>
      </c>
      <c r="P667" s="4">
        <v>0</v>
      </c>
      <c r="Q667" s="4">
        <v>0</v>
      </c>
      <c r="R667" s="4">
        <v>0</v>
      </c>
      <c r="S667" s="4">
        <v>0</v>
      </c>
      <c r="T667" s="23">
        <v>4.42</v>
      </c>
      <c r="U667" s="23">
        <v>4.42</v>
      </c>
      <c r="V667" s="5" t="s">
        <v>3898</v>
      </c>
      <c r="W667" s="4">
        <v>491</v>
      </c>
      <c r="X667" s="4">
        <v>88400</v>
      </c>
      <c r="Y667" s="14">
        <v>42915</v>
      </c>
      <c r="Z667" s="14">
        <v>45837</v>
      </c>
      <c r="AA667" s="2"/>
      <c r="AB667" s="69" t="s">
        <v>2783</v>
      </c>
      <c r="AC667" s="5" t="s">
        <v>2</v>
      </c>
      <c r="AD667" s="2"/>
      <c r="AE667" s="10"/>
      <c r="AF667" s="23"/>
      <c r="AG667" s="6"/>
      <c r="AH667" s="5" t="s">
        <v>2</v>
      </c>
      <c r="AI667" s="5" t="s">
        <v>3230</v>
      </c>
      <c r="AJ667" s="5" t="s">
        <v>2</v>
      </c>
      <c r="AK667" s="21" t="s">
        <v>2</v>
      </c>
      <c r="AL667" s="72" t="s">
        <v>3894</v>
      </c>
      <c r="AM667" s="54" t="s">
        <v>4179</v>
      </c>
      <c r="AN667" s="34" t="s">
        <v>1650</v>
      </c>
    </row>
    <row r="668" spans="2:40" x14ac:dyDescent="0.3">
      <c r="B668" s="18" t="s">
        <v>4363</v>
      </c>
      <c r="C668" s="47" t="s">
        <v>3746</v>
      </c>
      <c r="D668" s="15" t="s">
        <v>1276</v>
      </c>
      <c r="E668" s="68" t="s">
        <v>2</v>
      </c>
      <c r="F668" s="55" t="s">
        <v>2</v>
      </c>
      <c r="G668" s="40" t="s">
        <v>2</v>
      </c>
      <c r="H668" s="71" t="s">
        <v>3894</v>
      </c>
      <c r="I668" s="67" t="s">
        <v>8</v>
      </c>
      <c r="J668" s="73" t="s">
        <v>874</v>
      </c>
      <c r="K668" s="4">
        <v>3000000</v>
      </c>
      <c r="L668" s="41">
        <v>89.942999999999998</v>
      </c>
      <c r="M668" s="4">
        <v>2698290</v>
      </c>
      <c r="N668" s="4">
        <v>3000000</v>
      </c>
      <c r="O668" s="4">
        <v>3000000</v>
      </c>
      <c r="P668" s="4">
        <v>0</v>
      </c>
      <c r="Q668" s="4">
        <v>0</v>
      </c>
      <c r="R668" s="4">
        <v>0</v>
      </c>
      <c r="S668" s="4">
        <v>0</v>
      </c>
      <c r="T668" s="23">
        <v>3.37</v>
      </c>
      <c r="U668" s="23">
        <v>3.37</v>
      </c>
      <c r="V668" s="5" t="s">
        <v>3898</v>
      </c>
      <c r="W668" s="4">
        <v>5898</v>
      </c>
      <c r="X668" s="4">
        <v>101100</v>
      </c>
      <c r="Y668" s="14">
        <v>44175</v>
      </c>
      <c r="Z668" s="14">
        <v>46731</v>
      </c>
      <c r="AA668" s="2"/>
      <c r="AB668" s="69" t="s">
        <v>2783</v>
      </c>
      <c r="AC668" s="5" t="s">
        <v>2</v>
      </c>
      <c r="AD668" s="2"/>
      <c r="AE668" s="10"/>
      <c r="AF668" s="23"/>
      <c r="AG668" s="6"/>
      <c r="AH668" s="5" t="s">
        <v>2</v>
      </c>
      <c r="AI668" s="5" t="s">
        <v>4022</v>
      </c>
      <c r="AJ668" s="5" t="s">
        <v>1494</v>
      </c>
      <c r="AK668" s="21" t="s">
        <v>2</v>
      </c>
      <c r="AL668" s="72" t="s">
        <v>2745</v>
      </c>
      <c r="AM668" s="54" t="s">
        <v>4179</v>
      </c>
      <c r="AN668" s="34" t="s">
        <v>3231</v>
      </c>
    </row>
    <row r="669" spans="2:40" x14ac:dyDescent="0.3">
      <c r="B669" s="18" t="s">
        <v>973</v>
      </c>
      <c r="C669" s="47" t="s">
        <v>619</v>
      </c>
      <c r="D669" s="15" t="s">
        <v>129</v>
      </c>
      <c r="E669" s="68" t="s">
        <v>2</v>
      </c>
      <c r="F669" s="55" t="s">
        <v>3408</v>
      </c>
      <c r="G669" s="40" t="s">
        <v>2745</v>
      </c>
      <c r="H669" s="71" t="s">
        <v>3894</v>
      </c>
      <c r="I669" s="67" t="s">
        <v>8</v>
      </c>
      <c r="J669" s="73" t="s">
        <v>270</v>
      </c>
      <c r="K669" s="4">
        <v>5095550</v>
      </c>
      <c r="L669" s="41">
        <v>84.850999999999999</v>
      </c>
      <c r="M669" s="4">
        <v>4242550</v>
      </c>
      <c r="N669" s="4">
        <v>5000000</v>
      </c>
      <c r="O669" s="4">
        <v>5071836</v>
      </c>
      <c r="P669" s="4">
        <v>0</v>
      </c>
      <c r="Q669" s="4">
        <v>-9459</v>
      </c>
      <c r="R669" s="4">
        <v>0</v>
      </c>
      <c r="S669" s="4">
        <v>0</v>
      </c>
      <c r="T669" s="23">
        <v>2.95</v>
      </c>
      <c r="U669" s="23">
        <v>2.718</v>
      </c>
      <c r="V669" s="5" t="s">
        <v>1916</v>
      </c>
      <c r="W669" s="4">
        <v>63917</v>
      </c>
      <c r="X669" s="4">
        <v>147500</v>
      </c>
      <c r="Y669" s="14">
        <v>43985</v>
      </c>
      <c r="Z669" s="14">
        <v>47508</v>
      </c>
      <c r="AA669" s="2"/>
      <c r="AB669" s="69" t="s">
        <v>3892</v>
      </c>
      <c r="AC669" s="5" t="s">
        <v>4178</v>
      </c>
      <c r="AD669" s="2"/>
      <c r="AE669" s="14">
        <v>47416</v>
      </c>
      <c r="AF669" s="23">
        <v>100</v>
      </c>
      <c r="AG669" s="14">
        <v>47416</v>
      </c>
      <c r="AH669" s="5" t="s">
        <v>2</v>
      </c>
      <c r="AI669" s="5" t="s">
        <v>130</v>
      </c>
      <c r="AJ669" s="5" t="s">
        <v>824</v>
      </c>
      <c r="AK669" s="21" t="s">
        <v>2</v>
      </c>
      <c r="AL669" s="72" t="s">
        <v>3894</v>
      </c>
      <c r="AM669" s="54" t="s">
        <v>4179</v>
      </c>
      <c r="AN669" s="34" t="s">
        <v>1189</v>
      </c>
    </row>
    <row r="670" spans="2:40" x14ac:dyDescent="0.3">
      <c r="B670" s="18" t="s">
        <v>2089</v>
      </c>
      <c r="C670" s="47" t="s">
        <v>1495</v>
      </c>
      <c r="D670" s="15" t="s">
        <v>4023</v>
      </c>
      <c r="E670" s="68" t="s">
        <v>2</v>
      </c>
      <c r="F670" s="55" t="s">
        <v>2</v>
      </c>
      <c r="G670" s="40" t="s">
        <v>2</v>
      </c>
      <c r="H670" s="71" t="s">
        <v>2745</v>
      </c>
      <c r="I670" s="67" t="s">
        <v>287</v>
      </c>
      <c r="J670" s="73" t="s">
        <v>270</v>
      </c>
      <c r="K670" s="4">
        <v>9844740</v>
      </c>
      <c r="L670" s="41">
        <v>92.694000000000003</v>
      </c>
      <c r="M670" s="4">
        <v>8342460</v>
      </c>
      <c r="N670" s="4">
        <v>9000000</v>
      </c>
      <c r="O670" s="4">
        <v>9499131</v>
      </c>
      <c r="P670" s="4">
        <v>0</v>
      </c>
      <c r="Q670" s="4">
        <v>-135560</v>
      </c>
      <c r="R670" s="4">
        <v>0</v>
      </c>
      <c r="S670" s="4">
        <v>0</v>
      </c>
      <c r="T670" s="23">
        <v>2.7</v>
      </c>
      <c r="U670" s="23">
        <v>1.119</v>
      </c>
      <c r="V670" s="5" t="s">
        <v>268</v>
      </c>
      <c r="W670" s="4">
        <v>99900</v>
      </c>
      <c r="X670" s="4">
        <v>243000</v>
      </c>
      <c r="Y670" s="14">
        <v>43985</v>
      </c>
      <c r="Z670" s="14">
        <v>46237</v>
      </c>
      <c r="AA670" s="2"/>
      <c r="AB670" s="69" t="s">
        <v>3892</v>
      </c>
      <c r="AC670" s="5" t="s">
        <v>4178</v>
      </c>
      <c r="AD670" s="2"/>
      <c r="AE670" s="6"/>
      <c r="AF670" s="23"/>
      <c r="AG670" s="6"/>
      <c r="AH670" s="5" t="s">
        <v>3747</v>
      </c>
      <c r="AI670" s="5" t="s">
        <v>4023</v>
      </c>
      <c r="AJ670" s="5" t="s">
        <v>2</v>
      </c>
      <c r="AK670" s="21" t="s">
        <v>2</v>
      </c>
      <c r="AL670" s="72" t="s">
        <v>3894</v>
      </c>
      <c r="AM670" s="54" t="s">
        <v>4179</v>
      </c>
      <c r="AN670" s="34" t="s">
        <v>819</v>
      </c>
    </row>
    <row r="671" spans="2:40" x14ac:dyDescent="0.3">
      <c r="B671" s="18" t="s">
        <v>3232</v>
      </c>
      <c r="C671" s="47" t="s">
        <v>372</v>
      </c>
      <c r="D671" s="15" t="s">
        <v>4023</v>
      </c>
      <c r="E671" s="68" t="s">
        <v>2</v>
      </c>
      <c r="F671" s="55" t="s">
        <v>3408</v>
      </c>
      <c r="G671" s="40" t="s">
        <v>2</v>
      </c>
      <c r="H671" s="71" t="s">
        <v>2745</v>
      </c>
      <c r="I671" s="67" t="s">
        <v>287</v>
      </c>
      <c r="J671" s="73" t="s">
        <v>270</v>
      </c>
      <c r="K671" s="4">
        <v>14971350</v>
      </c>
      <c r="L671" s="41">
        <v>94.245000000000005</v>
      </c>
      <c r="M671" s="4">
        <v>14136750</v>
      </c>
      <c r="N671" s="4">
        <v>15000000</v>
      </c>
      <c r="O671" s="4">
        <v>14987847</v>
      </c>
      <c r="P671" s="4">
        <v>0</v>
      </c>
      <c r="Q671" s="4">
        <v>5622</v>
      </c>
      <c r="R671" s="4">
        <v>0</v>
      </c>
      <c r="S671" s="4">
        <v>0</v>
      </c>
      <c r="T671" s="23">
        <v>2.2000000000000002</v>
      </c>
      <c r="U671" s="23">
        <v>2.2400000000000002</v>
      </c>
      <c r="V671" s="5" t="s">
        <v>268</v>
      </c>
      <c r="W671" s="4">
        <v>135667</v>
      </c>
      <c r="X671" s="4">
        <v>330000</v>
      </c>
      <c r="Y671" s="14">
        <v>43837</v>
      </c>
      <c r="Z671" s="14">
        <v>45691</v>
      </c>
      <c r="AA671" s="2"/>
      <c r="AB671" s="69" t="s">
        <v>3892</v>
      </c>
      <c r="AC671" s="5" t="s">
        <v>4178</v>
      </c>
      <c r="AD671" s="2"/>
      <c r="AE671" s="10"/>
      <c r="AF671" s="23"/>
      <c r="AG671" s="6"/>
      <c r="AH671" s="5" t="s">
        <v>3747</v>
      </c>
      <c r="AI671" s="5" t="s">
        <v>4023</v>
      </c>
      <c r="AJ671" s="5" t="s">
        <v>2</v>
      </c>
      <c r="AK671" s="21" t="s">
        <v>2</v>
      </c>
      <c r="AL671" s="72" t="s">
        <v>3894</v>
      </c>
      <c r="AM671" s="54" t="s">
        <v>4179</v>
      </c>
      <c r="AN671" s="34" t="s">
        <v>819</v>
      </c>
    </row>
    <row r="672" spans="2:40" x14ac:dyDescent="0.3">
      <c r="B672" s="18" t="s">
        <v>131</v>
      </c>
      <c r="C672" s="47" t="s">
        <v>373</v>
      </c>
      <c r="D672" s="15" t="s">
        <v>974</v>
      </c>
      <c r="E672" s="68" t="s">
        <v>2</v>
      </c>
      <c r="F672" s="55" t="s">
        <v>3408</v>
      </c>
      <c r="G672" s="40" t="s">
        <v>2745</v>
      </c>
      <c r="H672" s="71" t="s">
        <v>3894</v>
      </c>
      <c r="I672" s="67" t="s">
        <v>8</v>
      </c>
      <c r="J672" s="73" t="s">
        <v>270</v>
      </c>
      <c r="K672" s="4">
        <v>4754550</v>
      </c>
      <c r="L672" s="41">
        <v>90.802999999999997</v>
      </c>
      <c r="M672" s="4">
        <v>4540150</v>
      </c>
      <c r="N672" s="4">
        <v>5000000</v>
      </c>
      <c r="O672" s="4">
        <v>4866750</v>
      </c>
      <c r="P672" s="4">
        <v>0</v>
      </c>
      <c r="Q672" s="4">
        <v>32310</v>
      </c>
      <c r="R672" s="4">
        <v>0</v>
      </c>
      <c r="S672" s="4">
        <v>0</v>
      </c>
      <c r="T672" s="23">
        <v>3.25</v>
      </c>
      <c r="U672" s="23">
        <v>4.0229999999999997</v>
      </c>
      <c r="V672" s="5" t="s">
        <v>3895</v>
      </c>
      <c r="W672" s="4">
        <v>40625</v>
      </c>
      <c r="X672" s="4">
        <v>162500</v>
      </c>
      <c r="Y672" s="14">
        <v>43587</v>
      </c>
      <c r="Z672" s="14">
        <v>46296</v>
      </c>
      <c r="AA672" s="2"/>
      <c r="AB672" s="69" t="s">
        <v>3892</v>
      </c>
      <c r="AC672" s="5" t="s">
        <v>4178</v>
      </c>
      <c r="AD672" s="2"/>
      <c r="AE672" s="14">
        <v>46204</v>
      </c>
      <c r="AF672" s="23">
        <v>100</v>
      </c>
      <c r="AG672" s="6"/>
      <c r="AH672" s="5" t="s">
        <v>3233</v>
      </c>
      <c r="AI672" s="5" t="s">
        <v>1277</v>
      </c>
      <c r="AJ672" s="5" t="s">
        <v>824</v>
      </c>
      <c r="AK672" s="21" t="s">
        <v>2</v>
      </c>
      <c r="AL672" s="72" t="s">
        <v>3894</v>
      </c>
      <c r="AM672" s="54" t="s">
        <v>4179</v>
      </c>
      <c r="AN672" s="34" t="s">
        <v>1189</v>
      </c>
    </row>
    <row r="673" spans="2:40" x14ac:dyDescent="0.3">
      <c r="B673" s="18" t="s">
        <v>1278</v>
      </c>
      <c r="C673" s="47" t="s">
        <v>132</v>
      </c>
      <c r="D673" s="15" t="s">
        <v>974</v>
      </c>
      <c r="E673" s="68" t="s">
        <v>2</v>
      </c>
      <c r="F673" s="55" t="s">
        <v>2</v>
      </c>
      <c r="G673" s="40" t="s">
        <v>2745</v>
      </c>
      <c r="H673" s="71" t="s">
        <v>3894</v>
      </c>
      <c r="I673" s="67" t="s">
        <v>8</v>
      </c>
      <c r="J673" s="73" t="s">
        <v>270</v>
      </c>
      <c r="K673" s="4">
        <v>5252250</v>
      </c>
      <c r="L673" s="41">
        <v>82.581000000000003</v>
      </c>
      <c r="M673" s="4">
        <v>4129050</v>
      </c>
      <c r="N673" s="4">
        <v>5000000</v>
      </c>
      <c r="O673" s="4">
        <v>5212233</v>
      </c>
      <c r="P673" s="4">
        <v>0</v>
      </c>
      <c r="Q673" s="4">
        <v>-26822</v>
      </c>
      <c r="R673" s="4">
        <v>0</v>
      </c>
      <c r="S673" s="4">
        <v>0</v>
      </c>
      <c r="T673" s="23">
        <v>3.05</v>
      </c>
      <c r="U673" s="23">
        <v>2.4020000000000001</v>
      </c>
      <c r="V673" s="5" t="s">
        <v>3898</v>
      </c>
      <c r="W673" s="4">
        <v>12708</v>
      </c>
      <c r="X673" s="4">
        <v>152500</v>
      </c>
      <c r="Y673" s="14">
        <v>44375</v>
      </c>
      <c r="Z673" s="14">
        <v>47635</v>
      </c>
      <c r="AA673" s="2"/>
      <c r="AB673" s="69" t="s">
        <v>3892</v>
      </c>
      <c r="AC673" s="5" t="s">
        <v>4178</v>
      </c>
      <c r="AD673" s="2"/>
      <c r="AE673" s="9">
        <v>47543</v>
      </c>
      <c r="AF673" s="23">
        <v>100</v>
      </c>
      <c r="AG673" s="9">
        <v>47543</v>
      </c>
      <c r="AH673" s="5" t="s">
        <v>3233</v>
      </c>
      <c r="AI673" s="5" t="s">
        <v>1277</v>
      </c>
      <c r="AJ673" s="5" t="s">
        <v>824</v>
      </c>
      <c r="AK673" s="21" t="s">
        <v>2</v>
      </c>
      <c r="AL673" s="72" t="s">
        <v>3894</v>
      </c>
      <c r="AM673" s="54" t="s">
        <v>4179</v>
      </c>
      <c r="AN673" s="34" t="s">
        <v>1189</v>
      </c>
    </row>
    <row r="674" spans="2:40" x14ac:dyDescent="0.3">
      <c r="B674" s="18" t="s">
        <v>2404</v>
      </c>
      <c r="C674" s="47" t="s">
        <v>975</v>
      </c>
      <c r="D674" s="15" t="s">
        <v>3748</v>
      </c>
      <c r="E674" s="68" t="s">
        <v>2</v>
      </c>
      <c r="F674" s="55" t="s">
        <v>2</v>
      </c>
      <c r="G674" s="40" t="s">
        <v>2</v>
      </c>
      <c r="H674" s="71" t="s">
        <v>2745</v>
      </c>
      <c r="I674" s="67" t="s">
        <v>1414</v>
      </c>
      <c r="J674" s="73" t="s">
        <v>2</v>
      </c>
      <c r="K674" s="4">
        <v>4636620</v>
      </c>
      <c r="L674" s="41">
        <v>97.165000000000006</v>
      </c>
      <c r="M674" s="4">
        <v>4372425</v>
      </c>
      <c r="N674" s="4">
        <v>4500000</v>
      </c>
      <c r="O674" s="4">
        <v>4595079</v>
      </c>
      <c r="P674" s="4">
        <v>0</v>
      </c>
      <c r="Q674" s="4">
        <v>-41541</v>
      </c>
      <c r="R674" s="4">
        <v>0</v>
      </c>
      <c r="S674" s="4">
        <v>0</v>
      </c>
      <c r="T674" s="23">
        <v>3.61</v>
      </c>
      <c r="U674" s="23">
        <v>2.5299999999999998</v>
      </c>
      <c r="V674" s="5" t="s">
        <v>1916</v>
      </c>
      <c r="W674" s="4">
        <v>78066</v>
      </c>
      <c r="X674" s="4">
        <v>81225</v>
      </c>
      <c r="Y674" s="14">
        <v>44579</v>
      </c>
      <c r="Z674" s="14">
        <v>45665</v>
      </c>
      <c r="AA674" s="2"/>
      <c r="AB674" s="69" t="s">
        <v>2783</v>
      </c>
      <c r="AC674" s="5" t="s">
        <v>2</v>
      </c>
      <c r="AD674" s="2"/>
      <c r="AE674" s="6"/>
      <c r="AF674" s="23"/>
      <c r="AG674" s="6"/>
      <c r="AH674" s="5" t="s">
        <v>2</v>
      </c>
      <c r="AI674" s="5" t="s">
        <v>3748</v>
      </c>
      <c r="AJ674" s="5" t="s">
        <v>2</v>
      </c>
      <c r="AK674" s="21" t="s">
        <v>2</v>
      </c>
      <c r="AL674" s="72" t="s">
        <v>3894</v>
      </c>
      <c r="AM674" s="54" t="s">
        <v>4179</v>
      </c>
      <c r="AN674" s="34" t="s">
        <v>541</v>
      </c>
    </row>
    <row r="675" spans="2:40" x14ac:dyDescent="0.3">
      <c r="B675" s="18" t="s">
        <v>3525</v>
      </c>
      <c r="C675" s="47" t="s">
        <v>1764</v>
      </c>
      <c r="D675" s="15" t="s">
        <v>133</v>
      </c>
      <c r="E675" s="68" t="s">
        <v>2</v>
      </c>
      <c r="F675" s="55" t="s">
        <v>3408</v>
      </c>
      <c r="G675" s="40" t="s">
        <v>2745</v>
      </c>
      <c r="H675" s="71" t="s">
        <v>3894</v>
      </c>
      <c r="I675" s="67" t="s">
        <v>3408</v>
      </c>
      <c r="J675" s="73" t="s">
        <v>270</v>
      </c>
      <c r="K675" s="4">
        <v>9981400</v>
      </c>
      <c r="L675" s="41">
        <v>94.683000000000007</v>
      </c>
      <c r="M675" s="4">
        <v>9468300</v>
      </c>
      <c r="N675" s="4">
        <v>10000000</v>
      </c>
      <c r="O675" s="4">
        <v>9992512</v>
      </c>
      <c r="P675" s="4">
        <v>0</v>
      </c>
      <c r="Q675" s="4">
        <v>3535</v>
      </c>
      <c r="R675" s="4">
        <v>0</v>
      </c>
      <c r="S675" s="4">
        <v>0</v>
      </c>
      <c r="T675" s="23">
        <v>2.5</v>
      </c>
      <c r="U675" s="23">
        <v>2.5379999999999998</v>
      </c>
      <c r="V675" s="5" t="s">
        <v>1916</v>
      </c>
      <c r="W675" s="4">
        <v>115278</v>
      </c>
      <c r="X675" s="4">
        <v>250000</v>
      </c>
      <c r="Y675" s="14">
        <v>43782</v>
      </c>
      <c r="Z675" s="14">
        <v>45672</v>
      </c>
      <c r="AA675" s="2"/>
      <c r="AB675" s="69" t="s">
        <v>3892</v>
      </c>
      <c r="AC675" s="5" t="s">
        <v>4178</v>
      </c>
      <c r="AD675" s="2"/>
      <c r="AE675" s="9">
        <v>45641</v>
      </c>
      <c r="AF675" s="23">
        <v>100</v>
      </c>
      <c r="AG675" s="6"/>
      <c r="AH675" s="5" t="s">
        <v>4024</v>
      </c>
      <c r="AI675" s="5" t="s">
        <v>133</v>
      </c>
      <c r="AJ675" s="5" t="s">
        <v>2</v>
      </c>
      <c r="AK675" s="21" t="s">
        <v>2</v>
      </c>
      <c r="AL675" s="72" t="s">
        <v>3894</v>
      </c>
      <c r="AM675" s="54" t="s">
        <v>4179</v>
      </c>
      <c r="AN675" s="34" t="s">
        <v>1650</v>
      </c>
    </row>
    <row r="676" spans="2:40" x14ac:dyDescent="0.3">
      <c r="B676" s="18" t="s">
        <v>976</v>
      </c>
      <c r="C676" s="47" t="s">
        <v>620</v>
      </c>
      <c r="D676" s="15" t="s">
        <v>4025</v>
      </c>
      <c r="E676" s="68" t="s">
        <v>2</v>
      </c>
      <c r="F676" s="55" t="s">
        <v>2</v>
      </c>
      <c r="G676" s="40" t="s">
        <v>2745</v>
      </c>
      <c r="H676" s="71" t="s">
        <v>3894</v>
      </c>
      <c r="I676" s="67" t="s">
        <v>8</v>
      </c>
      <c r="J676" s="73" t="s">
        <v>270</v>
      </c>
      <c r="K676" s="4">
        <v>4992800</v>
      </c>
      <c r="L676" s="41">
        <v>94.271000000000001</v>
      </c>
      <c r="M676" s="4">
        <v>4713550</v>
      </c>
      <c r="N676" s="4">
        <v>5000000</v>
      </c>
      <c r="O676" s="4">
        <v>4993005</v>
      </c>
      <c r="P676" s="4">
        <v>0</v>
      </c>
      <c r="Q676" s="4">
        <v>205</v>
      </c>
      <c r="R676" s="4">
        <v>0</v>
      </c>
      <c r="S676" s="4">
        <v>0</v>
      </c>
      <c r="T676" s="23">
        <v>5.625</v>
      </c>
      <c r="U676" s="23">
        <v>5.6440000000000001</v>
      </c>
      <c r="V676" s="5" t="s">
        <v>268</v>
      </c>
      <c r="W676" s="4">
        <v>105469</v>
      </c>
      <c r="X676" s="4">
        <v>0</v>
      </c>
      <c r="Y676" s="14">
        <v>44784</v>
      </c>
      <c r="Z676" s="14">
        <v>48442</v>
      </c>
      <c r="AA676" s="2"/>
      <c r="AB676" s="69" t="s">
        <v>3892</v>
      </c>
      <c r="AC676" s="5" t="s">
        <v>4178</v>
      </c>
      <c r="AD676" s="2"/>
      <c r="AE676" s="9">
        <v>48350</v>
      </c>
      <c r="AF676" s="23">
        <v>100</v>
      </c>
      <c r="AG676" s="6"/>
      <c r="AH676" s="5" t="s">
        <v>977</v>
      </c>
      <c r="AI676" s="5" t="s">
        <v>2090</v>
      </c>
      <c r="AJ676" s="5" t="s">
        <v>824</v>
      </c>
      <c r="AK676" s="21" t="s">
        <v>2</v>
      </c>
      <c r="AL676" s="72" t="s">
        <v>3894</v>
      </c>
      <c r="AM676" s="54" t="s">
        <v>4179</v>
      </c>
      <c r="AN676" s="34" t="s">
        <v>1189</v>
      </c>
    </row>
    <row r="677" spans="2:40" x14ac:dyDescent="0.3">
      <c r="B677" s="18" t="s">
        <v>2091</v>
      </c>
      <c r="C677" s="47" t="s">
        <v>1279</v>
      </c>
      <c r="D677" s="15" t="s">
        <v>621</v>
      </c>
      <c r="E677" s="68" t="s">
        <v>2</v>
      </c>
      <c r="F677" s="55" t="s">
        <v>2</v>
      </c>
      <c r="G677" s="40" t="s">
        <v>2745</v>
      </c>
      <c r="H677" s="71" t="s">
        <v>825</v>
      </c>
      <c r="I677" s="67" t="s">
        <v>3408</v>
      </c>
      <c r="J677" s="73" t="s">
        <v>270</v>
      </c>
      <c r="K677" s="4">
        <v>3046620</v>
      </c>
      <c r="L677" s="41">
        <v>96.298000000000002</v>
      </c>
      <c r="M677" s="4">
        <v>2888940</v>
      </c>
      <c r="N677" s="4">
        <v>3000000</v>
      </c>
      <c r="O677" s="4">
        <v>2888940</v>
      </c>
      <c r="P677" s="4">
        <v>-123315</v>
      </c>
      <c r="Q677" s="4">
        <v>-7275</v>
      </c>
      <c r="R677" s="4">
        <v>0</v>
      </c>
      <c r="S677" s="4">
        <v>0</v>
      </c>
      <c r="T677" s="23">
        <v>4.25</v>
      </c>
      <c r="U677" s="23">
        <v>3.984</v>
      </c>
      <c r="V677" s="5" t="s">
        <v>3898</v>
      </c>
      <c r="W677" s="4">
        <v>10625</v>
      </c>
      <c r="X677" s="4">
        <v>127500</v>
      </c>
      <c r="Y677" s="14">
        <v>43052</v>
      </c>
      <c r="Z677" s="14">
        <v>45627</v>
      </c>
      <c r="AA677" s="2"/>
      <c r="AB677" s="69" t="s">
        <v>3892</v>
      </c>
      <c r="AC677" s="5" t="s">
        <v>4178</v>
      </c>
      <c r="AD677" s="2"/>
      <c r="AE677" s="9">
        <v>45536</v>
      </c>
      <c r="AF677" s="23">
        <v>100</v>
      </c>
      <c r="AG677" s="9">
        <v>45536</v>
      </c>
      <c r="AH677" s="5" t="s">
        <v>1280</v>
      </c>
      <c r="AI677" s="5" t="s">
        <v>978</v>
      </c>
      <c r="AJ677" s="5" t="s">
        <v>374</v>
      </c>
      <c r="AK677" s="21" t="s">
        <v>2</v>
      </c>
      <c r="AL677" s="72" t="s">
        <v>3894</v>
      </c>
      <c r="AM677" s="54" t="s">
        <v>4179</v>
      </c>
      <c r="AN677" s="34" t="s">
        <v>863</v>
      </c>
    </row>
    <row r="678" spans="2:40" x14ac:dyDescent="0.3">
      <c r="B678" s="18" t="s">
        <v>3234</v>
      </c>
      <c r="C678" s="47" t="s">
        <v>1281</v>
      </c>
      <c r="D678" s="15" t="s">
        <v>621</v>
      </c>
      <c r="E678" s="68" t="s">
        <v>2</v>
      </c>
      <c r="F678" s="55" t="s">
        <v>2</v>
      </c>
      <c r="G678" s="40" t="s">
        <v>2745</v>
      </c>
      <c r="H678" s="71" t="s">
        <v>825</v>
      </c>
      <c r="I678" s="67" t="s">
        <v>3408</v>
      </c>
      <c r="J678" s="73" t="s">
        <v>270</v>
      </c>
      <c r="K678" s="4">
        <v>1000000</v>
      </c>
      <c r="L678" s="41">
        <v>92.870999999999995</v>
      </c>
      <c r="M678" s="4">
        <v>928710</v>
      </c>
      <c r="N678" s="4">
        <v>1000000</v>
      </c>
      <c r="O678" s="4">
        <v>928710</v>
      </c>
      <c r="P678" s="4">
        <v>-71290</v>
      </c>
      <c r="Q678" s="4">
        <v>0</v>
      </c>
      <c r="R678" s="4">
        <v>0</v>
      </c>
      <c r="S678" s="4">
        <v>0</v>
      </c>
      <c r="T678" s="23">
        <v>5.125</v>
      </c>
      <c r="U678" s="23">
        <v>5.125</v>
      </c>
      <c r="V678" s="5" t="s">
        <v>3895</v>
      </c>
      <c r="W678" s="4">
        <v>10819</v>
      </c>
      <c r="X678" s="4">
        <v>51250</v>
      </c>
      <c r="Y678" s="14">
        <v>44091</v>
      </c>
      <c r="Z678" s="14">
        <v>46675</v>
      </c>
      <c r="AA678" s="2"/>
      <c r="AB678" s="69" t="s">
        <v>3892</v>
      </c>
      <c r="AC678" s="5" t="s">
        <v>4178</v>
      </c>
      <c r="AD678" s="2"/>
      <c r="AE678" s="9">
        <v>46492</v>
      </c>
      <c r="AF678" s="23">
        <v>100</v>
      </c>
      <c r="AG678" s="6"/>
      <c r="AH678" s="5" t="s">
        <v>1280</v>
      </c>
      <c r="AI678" s="5" t="s">
        <v>978</v>
      </c>
      <c r="AJ678" s="5" t="s">
        <v>374</v>
      </c>
      <c r="AK678" s="21" t="s">
        <v>2</v>
      </c>
      <c r="AL678" s="72" t="s">
        <v>3894</v>
      </c>
      <c r="AM678" s="54" t="s">
        <v>4179</v>
      </c>
      <c r="AN678" s="34" t="s">
        <v>863</v>
      </c>
    </row>
    <row r="679" spans="2:40" x14ac:dyDescent="0.3">
      <c r="B679" s="18" t="s">
        <v>4364</v>
      </c>
      <c r="C679" s="47" t="s">
        <v>134</v>
      </c>
      <c r="D679" s="15" t="s">
        <v>375</v>
      </c>
      <c r="E679" s="68" t="s">
        <v>2</v>
      </c>
      <c r="F679" s="55" t="s">
        <v>2</v>
      </c>
      <c r="G679" s="40" t="s">
        <v>2745</v>
      </c>
      <c r="H679" s="71" t="s">
        <v>825</v>
      </c>
      <c r="I679" s="67" t="s">
        <v>1164</v>
      </c>
      <c r="J679" s="73" t="s">
        <v>270</v>
      </c>
      <c r="K679" s="4">
        <v>3015000</v>
      </c>
      <c r="L679" s="41">
        <v>96.748999999999995</v>
      </c>
      <c r="M679" s="4">
        <v>2902470</v>
      </c>
      <c r="N679" s="4">
        <v>3000000</v>
      </c>
      <c r="O679" s="4">
        <v>2902470</v>
      </c>
      <c r="P679" s="4">
        <v>-100349</v>
      </c>
      <c r="Q679" s="4">
        <v>-2434</v>
      </c>
      <c r="R679" s="4">
        <v>0</v>
      </c>
      <c r="S679" s="4">
        <v>0</v>
      </c>
      <c r="T679" s="23">
        <v>4.875</v>
      </c>
      <c r="U679" s="23">
        <v>4.7859999999999996</v>
      </c>
      <c r="V679" s="5" t="s">
        <v>3898</v>
      </c>
      <c r="W679" s="4">
        <v>12188</v>
      </c>
      <c r="X679" s="4">
        <v>146250</v>
      </c>
      <c r="Y679" s="14">
        <v>42886</v>
      </c>
      <c r="Z679" s="14">
        <v>45444</v>
      </c>
      <c r="AA679" s="2"/>
      <c r="AB679" s="69" t="s">
        <v>3892</v>
      </c>
      <c r="AC679" s="5" t="s">
        <v>7</v>
      </c>
      <c r="AD679" s="2"/>
      <c r="AE679" s="9">
        <v>45354</v>
      </c>
      <c r="AF679" s="23">
        <v>100</v>
      </c>
      <c r="AG679" s="9">
        <v>45354</v>
      </c>
      <c r="AH679" s="5" t="s">
        <v>2</v>
      </c>
      <c r="AI679" s="5" t="s">
        <v>375</v>
      </c>
      <c r="AJ679" s="5" t="s">
        <v>2</v>
      </c>
      <c r="AK679" s="21" t="s">
        <v>2</v>
      </c>
      <c r="AL679" s="72" t="s">
        <v>3894</v>
      </c>
      <c r="AM679" s="54" t="s">
        <v>4179</v>
      </c>
      <c r="AN679" s="34" t="s">
        <v>302</v>
      </c>
    </row>
    <row r="680" spans="2:40" x14ac:dyDescent="0.3">
      <c r="B680" s="18" t="s">
        <v>979</v>
      </c>
      <c r="C680" s="47" t="s">
        <v>376</v>
      </c>
      <c r="D680" s="15" t="s">
        <v>2617</v>
      </c>
      <c r="E680" s="68" t="s">
        <v>2</v>
      </c>
      <c r="F680" s="55" t="s">
        <v>3408</v>
      </c>
      <c r="G680" s="40" t="s">
        <v>2745</v>
      </c>
      <c r="H680" s="71" t="s">
        <v>3894</v>
      </c>
      <c r="I680" s="67" t="s">
        <v>8</v>
      </c>
      <c r="J680" s="73" t="s">
        <v>270</v>
      </c>
      <c r="K680" s="4">
        <v>9248350</v>
      </c>
      <c r="L680" s="41">
        <v>95.492000000000004</v>
      </c>
      <c r="M680" s="4">
        <v>9549200</v>
      </c>
      <c r="N680" s="4">
        <v>10000000</v>
      </c>
      <c r="O680" s="4">
        <v>9712721</v>
      </c>
      <c r="P680" s="4">
        <v>0</v>
      </c>
      <c r="Q680" s="4">
        <v>119080</v>
      </c>
      <c r="R680" s="4">
        <v>0</v>
      </c>
      <c r="S680" s="4">
        <v>0</v>
      </c>
      <c r="T680" s="23">
        <v>3</v>
      </c>
      <c r="U680" s="23">
        <v>4.3550000000000004</v>
      </c>
      <c r="V680" s="5" t="s">
        <v>3895</v>
      </c>
      <c r="W680" s="4">
        <v>75000</v>
      </c>
      <c r="X680" s="4">
        <v>300000</v>
      </c>
      <c r="Y680" s="14">
        <v>43417</v>
      </c>
      <c r="Z680" s="14">
        <v>45748</v>
      </c>
      <c r="AA680" s="2"/>
      <c r="AB680" s="69" t="s">
        <v>3892</v>
      </c>
      <c r="AC680" s="5" t="s">
        <v>4178</v>
      </c>
      <c r="AD680" s="2"/>
      <c r="AE680" s="9">
        <v>45658</v>
      </c>
      <c r="AF680" s="23">
        <v>100</v>
      </c>
      <c r="AG680" s="6"/>
      <c r="AH680" s="5" t="s">
        <v>2</v>
      </c>
      <c r="AI680" s="5" t="s">
        <v>2617</v>
      </c>
      <c r="AJ680" s="5" t="s">
        <v>2</v>
      </c>
      <c r="AK680" s="21" t="s">
        <v>2</v>
      </c>
      <c r="AL680" s="72" t="s">
        <v>3894</v>
      </c>
      <c r="AM680" s="54" t="s">
        <v>4179</v>
      </c>
      <c r="AN680" s="34" t="s">
        <v>1189</v>
      </c>
    </row>
    <row r="681" spans="2:40" x14ac:dyDescent="0.3">
      <c r="B681" s="18" t="s">
        <v>2405</v>
      </c>
      <c r="C681" s="47" t="s">
        <v>3526</v>
      </c>
      <c r="D681" s="15" t="s">
        <v>622</v>
      </c>
      <c r="E681" s="68" t="s">
        <v>2</v>
      </c>
      <c r="F681" s="55" t="s">
        <v>2</v>
      </c>
      <c r="G681" s="40" t="s">
        <v>2745</v>
      </c>
      <c r="H681" s="71" t="s">
        <v>825</v>
      </c>
      <c r="I681" s="67" t="s">
        <v>1164</v>
      </c>
      <c r="J681" s="73" t="s">
        <v>270</v>
      </c>
      <c r="K681" s="4">
        <v>4917500</v>
      </c>
      <c r="L681" s="41">
        <v>80.5</v>
      </c>
      <c r="M681" s="4">
        <v>4025000</v>
      </c>
      <c r="N681" s="4">
        <v>5000000</v>
      </c>
      <c r="O681" s="4">
        <v>4025000</v>
      </c>
      <c r="P681" s="4">
        <v>-901063</v>
      </c>
      <c r="Q681" s="4">
        <v>8563</v>
      </c>
      <c r="R681" s="4">
        <v>0</v>
      </c>
      <c r="S681" s="4">
        <v>0</v>
      </c>
      <c r="T681" s="23">
        <v>3.875</v>
      </c>
      <c r="U681" s="23">
        <v>4.1219999999999999</v>
      </c>
      <c r="V681" s="5" t="s">
        <v>3898</v>
      </c>
      <c r="W681" s="4">
        <v>16146</v>
      </c>
      <c r="X681" s="4">
        <v>197517</v>
      </c>
      <c r="Y681" s="14">
        <v>44585</v>
      </c>
      <c r="Z681" s="14">
        <v>47453</v>
      </c>
      <c r="AA681" s="2"/>
      <c r="AB681" s="69" t="s">
        <v>3892</v>
      </c>
      <c r="AC681" s="5" t="s">
        <v>4178</v>
      </c>
      <c r="AD681" s="2"/>
      <c r="AE681" s="9">
        <v>45627</v>
      </c>
      <c r="AF681" s="23">
        <v>101.938</v>
      </c>
      <c r="AG681" s="6"/>
      <c r="AH681" s="5" t="s">
        <v>980</v>
      </c>
      <c r="AI681" s="5" t="s">
        <v>981</v>
      </c>
      <c r="AJ681" s="5" t="s">
        <v>824</v>
      </c>
      <c r="AK681" s="21" t="s">
        <v>2</v>
      </c>
      <c r="AL681" s="72" t="s">
        <v>3894</v>
      </c>
      <c r="AM681" s="54" t="s">
        <v>4179</v>
      </c>
      <c r="AN681" s="34" t="s">
        <v>302</v>
      </c>
    </row>
    <row r="682" spans="2:40" x14ac:dyDescent="0.3">
      <c r="B682" s="18" t="s">
        <v>3527</v>
      </c>
      <c r="C682" s="47" t="s">
        <v>3749</v>
      </c>
      <c r="D682" s="15" t="s">
        <v>377</v>
      </c>
      <c r="E682" s="68" t="s">
        <v>2</v>
      </c>
      <c r="F682" s="55" t="s">
        <v>2</v>
      </c>
      <c r="G682" s="40" t="s">
        <v>2</v>
      </c>
      <c r="H682" s="71" t="s">
        <v>3894</v>
      </c>
      <c r="I682" s="67" t="s">
        <v>1164</v>
      </c>
      <c r="J682" s="73" t="s">
        <v>2312</v>
      </c>
      <c r="K682" s="4">
        <v>3000000</v>
      </c>
      <c r="L682" s="41">
        <v>96.950999999999993</v>
      </c>
      <c r="M682" s="4">
        <v>2908530</v>
      </c>
      <c r="N682" s="4">
        <v>3000000</v>
      </c>
      <c r="O682" s="4">
        <v>3000000</v>
      </c>
      <c r="P682" s="4">
        <v>0</v>
      </c>
      <c r="Q682" s="4">
        <v>0</v>
      </c>
      <c r="R682" s="4">
        <v>0</v>
      </c>
      <c r="S682" s="4">
        <v>0</v>
      </c>
      <c r="T682" s="23">
        <v>4.96</v>
      </c>
      <c r="U682" s="23">
        <v>4.96</v>
      </c>
      <c r="V682" s="5" t="s">
        <v>3895</v>
      </c>
      <c r="W682" s="4">
        <v>25213</v>
      </c>
      <c r="X682" s="4">
        <v>148800</v>
      </c>
      <c r="Y682" s="14">
        <v>43404</v>
      </c>
      <c r="Z682" s="14">
        <v>46326</v>
      </c>
      <c r="AA682" s="2"/>
      <c r="AB682" s="69" t="s">
        <v>2783</v>
      </c>
      <c r="AC682" s="5" t="s">
        <v>2</v>
      </c>
      <c r="AD682" s="2"/>
      <c r="AE682" s="6"/>
      <c r="AF682" s="23"/>
      <c r="AG682" s="6"/>
      <c r="AH682" s="5" t="s">
        <v>2</v>
      </c>
      <c r="AI682" s="5" t="s">
        <v>377</v>
      </c>
      <c r="AJ682" s="5" t="s">
        <v>2</v>
      </c>
      <c r="AK682" s="21" t="s">
        <v>2</v>
      </c>
      <c r="AL682" s="72" t="s">
        <v>3894</v>
      </c>
      <c r="AM682" s="54" t="s">
        <v>4179</v>
      </c>
      <c r="AN682" s="34" t="s">
        <v>2883</v>
      </c>
    </row>
    <row r="683" spans="2:40" x14ac:dyDescent="0.3">
      <c r="B683" s="18" t="s">
        <v>135</v>
      </c>
      <c r="C683" s="47" t="s">
        <v>378</v>
      </c>
      <c r="D683" s="15" t="s">
        <v>377</v>
      </c>
      <c r="E683" s="68" t="s">
        <v>2</v>
      </c>
      <c r="F683" s="55" t="s">
        <v>2</v>
      </c>
      <c r="G683" s="40" t="s">
        <v>2</v>
      </c>
      <c r="H683" s="71" t="s">
        <v>3894</v>
      </c>
      <c r="I683" s="67" t="s">
        <v>1164</v>
      </c>
      <c r="J683" s="73" t="s">
        <v>2312</v>
      </c>
      <c r="K683" s="4">
        <v>5000000</v>
      </c>
      <c r="L683" s="41">
        <v>88.695999999999998</v>
      </c>
      <c r="M683" s="4">
        <v>4434800</v>
      </c>
      <c r="N683" s="4">
        <v>5000000</v>
      </c>
      <c r="O683" s="4">
        <v>5000000</v>
      </c>
      <c r="P683" s="4">
        <v>0</v>
      </c>
      <c r="Q683" s="4">
        <v>0</v>
      </c>
      <c r="R683" s="4">
        <v>0</v>
      </c>
      <c r="S683" s="4">
        <v>0</v>
      </c>
      <c r="T683" s="23">
        <v>3.84</v>
      </c>
      <c r="U683" s="23">
        <v>3.84</v>
      </c>
      <c r="V683" s="5" t="s">
        <v>10</v>
      </c>
      <c r="W683" s="4">
        <v>53867</v>
      </c>
      <c r="X683" s="4">
        <v>192000</v>
      </c>
      <c r="Y683" s="14">
        <v>43910</v>
      </c>
      <c r="Z683" s="14">
        <v>47197</v>
      </c>
      <c r="AA683" s="2"/>
      <c r="AB683" s="69" t="s">
        <v>2783</v>
      </c>
      <c r="AC683" s="5" t="s">
        <v>2</v>
      </c>
      <c r="AD683" s="2"/>
      <c r="AE683" s="10"/>
      <c r="AF683" s="23"/>
      <c r="AG683" s="10"/>
      <c r="AH683" s="5" t="s">
        <v>2</v>
      </c>
      <c r="AI683" s="5" t="s">
        <v>377</v>
      </c>
      <c r="AJ683" s="5" t="s">
        <v>2</v>
      </c>
      <c r="AK683" s="21" t="s">
        <v>2</v>
      </c>
      <c r="AL683" s="72" t="s">
        <v>3894</v>
      </c>
      <c r="AM683" s="54" t="s">
        <v>4179</v>
      </c>
      <c r="AN683" s="34" t="s">
        <v>2883</v>
      </c>
    </row>
    <row r="684" spans="2:40" x14ac:dyDescent="0.3">
      <c r="B684" s="18" t="s">
        <v>1282</v>
      </c>
      <c r="C684" s="47" t="s">
        <v>2406</v>
      </c>
      <c r="D684" s="15" t="s">
        <v>2092</v>
      </c>
      <c r="E684" s="68" t="s">
        <v>2</v>
      </c>
      <c r="F684" s="55" t="s">
        <v>2</v>
      </c>
      <c r="G684" s="40" t="s">
        <v>2</v>
      </c>
      <c r="H684" s="71" t="s">
        <v>2745</v>
      </c>
      <c r="I684" s="67" t="s">
        <v>1414</v>
      </c>
      <c r="J684" s="73" t="s">
        <v>270</v>
      </c>
      <c r="K684" s="4">
        <v>8000000</v>
      </c>
      <c r="L684" s="41">
        <v>94.787000000000006</v>
      </c>
      <c r="M684" s="4">
        <v>7582960</v>
      </c>
      <c r="N684" s="4">
        <v>8000000</v>
      </c>
      <c r="O684" s="4">
        <v>8000000</v>
      </c>
      <c r="P684" s="4">
        <v>0</v>
      </c>
      <c r="Q684" s="4">
        <v>0</v>
      </c>
      <c r="R684" s="4">
        <v>0</v>
      </c>
      <c r="S684" s="4">
        <v>0</v>
      </c>
      <c r="T684" s="23">
        <v>2.52</v>
      </c>
      <c r="U684" s="23">
        <v>2.5209999999999999</v>
      </c>
      <c r="V684" s="5" t="s">
        <v>3895</v>
      </c>
      <c r="W684" s="4">
        <v>38080</v>
      </c>
      <c r="X684" s="4">
        <v>201600</v>
      </c>
      <c r="Y684" s="14">
        <v>43847</v>
      </c>
      <c r="Z684" s="14">
        <v>45674</v>
      </c>
      <c r="AA684" s="2"/>
      <c r="AB684" s="69" t="s">
        <v>1671</v>
      </c>
      <c r="AC684" s="5" t="s">
        <v>2</v>
      </c>
      <c r="AD684" s="2"/>
      <c r="AE684" s="6"/>
      <c r="AF684" s="23"/>
      <c r="AG684" s="6"/>
      <c r="AH684" s="5" t="s">
        <v>2</v>
      </c>
      <c r="AI684" s="5" t="s">
        <v>2092</v>
      </c>
      <c r="AJ684" s="5" t="s">
        <v>2</v>
      </c>
      <c r="AK684" s="21" t="s">
        <v>2</v>
      </c>
      <c r="AL684" s="72" t="s">
        <v>3894</v>
      </c>
      <c r="AM684" s="54" t="s">
        <v>4179</v>
      </c>
      <c r="AN684" s="34" t="s">
        <v>512</v>
      </c>
    </row>
    <row r="685" spans="2:40" x14ac:dyDescent="0.3">
      <c r="B685" s="18" t="s">
        <v>2407</v>
      </c>
      <c r="C685" s="47" t="s">
        <v>2408</v>
      </c>
      <c r="D685" s="15" t="s">
        <v>3750</v>
      </c>
      <c r="E685" s="68" t="s">
        <v>2</v>
      </c>
      <c r="F685" s="55" t="s">
        <v>1164</v>
      </c>
      <c r="G685" s="40" t="s">
        <v>3894</v>
      </c>
      <c r="H685" s="71" t="s">
        <v>3894</v>
      </c>
      <c r="I685" s="67" t="s">
        <v>3408</v>
      </c>
      <c r="J685" s="73" t="s">
        <v>270</v>
      </c>
      <c r="K685" s="4">
        <v>10000000</v>
      </c>
      <c r="L685" s="41">
        <v>81.245000000000005</v>
      </c>
      <c r="M685" s="4">
        <v>8124500</v>
      </c>
      <c r="N685" s="4">
        <v>10000000</v>
      </c>
      <c r="O685" s="4">
        <v>10000000</v>
      </c>
      <c r="P685" s="4">
        <v>0</v>
      </c>
      <c r="Q685" s="4">
        <v>0</v>
      </c>
      <c r="R685" s="4">
        <v>0</v>
      </c>
      <c r="S685" s="4">
        <v>0</v>
      </c>
      <c r="T685" s="23">
        <v>2.4700000000000002</v>
      </c>
      <c r="U685" s="23">
        <v>2.343</v>
      </c>
      <c r="V685" s="5" t="s">
        <v>3898</v>
      </c>
      <c r="W685" s="4">
        <v>12350</v>
      </c>
      <c r="X685" s="4">
        <v>247000</v>
      </c>
      <c r="Y685" s="14">
        <v>44536</v>
      </c>
      <c r="Z685" s="14">
        <v>47465</v>
      </c>
      <c r="AA685" s="2"/>
      <c r="AB685" s="69" t="s">
        <v>3892</v>
      </c>
      <c r="AC685" s="5" t="s">
        <v>4178</v>
      </c>
      <c r="AD685" s="2"/>
      <c r="AE685" s="14">
        <v>47100</v>
      </c>
      <c r="AF685" s="23">
        <v>100</v>
      </c>
      <c r="AG685" s="6"/>
      <c r="AH685" s="5" t="s">
        <v>4026</v>
      </c>
      <c r="AI685" s="5" t="s">
        <v>3528</v>
      </c>
      <c r="AJ685" s="5" t="s">
        <v>824</v>
      </c>
      <c r="AK685" s="21" t="s">
        <v>2</v>
      </c>
      <c r="AL685" s="72" t="s">
        <v>825</v>
      </c>
      <c r="AM685" s="54" t="s">
        <v>4179</v>
      </c>
      <c r="AN685" s="34" t="s">
        <v>1650</v>
      </c>
    </row>
    <row r="686" spans="2:40" x14ac:dyDescent="0.3">
      <c r="B686" s="18" t="s">
        <v>4365</v>
      </c>
      <c r="C686" s="47" t="s">
        <v>136</v>
      </c>
      <c r="D686" s="15" t="s">
        <v>623</v>
      </c>
      <c r="E686" s="68" t="s">
        <v>2</v>
      </c>
      <c r="F686" s="55" t="s">
        <v>2274</v>
      </c>
      <c r="G686" s="40" t="s">
        <v>3894</v>
      </c>
      <c r="H686" s="71" t="s">
        <v>2745</v>
      </c>
      <c r="I686" s="67" t="s">
        <v>3660</v>
      </c>
      <c r="J686" s="73" t="s">
        <v>270</v>
      </c>
      <c r="K686" s="4">
        <v>4759200</v>
      </c>
      <c r="L686" s="41">
        <v>95.921000000000006</v>
      </c>
      <c r="M686" s="4">
        <v>4796050</v>
      </c>
      <c r="N686" s="4">
        <v>5000000</v>
      </c>
      <c r="O686" s="4">
        <v>4910021</v>
      </c>
      <c r="P686" s="4">
        <v>0</v>
      </c>
      <c r="Q686" s="4">
        <v>38462</v>
      </c>
      <c r="R686" s="4">
        <v>0</v>
      </c>
      <c r="S686" s="4">
        <v>0</v>
      </c>
      <c r="T686" s="23">
        <v>3.2</v>
      </c>
      <c r="U686" s="23">
        <v>4.0659999999999998</v>
      </c>
      <c r="V686" s="5" t="s">
        <v>10</v>
      </c>
      <c r="W686" s="4">
        <v>48889</v>
      </c>
      <c r="X686" s="4">
        <v>160000</v>
      </c>
      <c r="Y686" s="14">
        <v>43402</v>
      </c>
      <c r="Z686" s="14">
        <v>45727</v>
      </c>
      <c r="AA686" s="2"/>
      <c r="AB686" s="69" t="s">
        <v>3892</v>
      </c>
      <c r="AC686" s="5" t="s">
        <v>4178</v>
      </c>
      <c r="AD686" s="2"/>
      <c r="AE686" s="14">
        <v>45637</v>
      </c>
      <c r="AF686" s="23">
        <v>100</v>
      </c>
      <c r="AG686" s="6"/>
      <c r="AH686" s="5" t="s">
        <v>624</v>
      </c>
      <c r="AI686" s="5" t="s">
        <v>1765</v>
      </c>
      <c r="AJ686" s="5" t="s">
        <v>824</v>
      </c>
      <c r="AK686" s="21" t="s">
        <v>2</v>
      </c>
      <c r="AL686" s="72" t="s">
        <v>3894</v>
      </c>
      <c r="AM686" s="54" t="s">
        <v>4179</v>
      </c>
      <c r="AN686" s="34" t="s">
        <v>1170</v>
      </c>
    </row>
    <row r="687" spans="2:40" x14ac:dyDescent="0.3">
      <c r="B687" s="18" t="s">
        <v>982</v>
      </c>
      <c r="C687" s="47" t="s">
        <v>2093</v>
      </c>
      <c r="D687" s="15" t="s">
        <v>1496</v>
      </c>
      <c r="E687" s="68" t="s">
        <v>2</v>
      </c>
      <c r="F687" s="55" t="s">
        <v>1164</v>
      </c>
      <c r="G687" s="40" t="s">
        <v>3894</v>
      </c>
      <c r="H687" s="71" t="s">
        <v>2745</v>
      </c>
      <c r="I687" s="67" t="s">
        <v>1414</v>
      </c>
      <c r="J687" s="73" t="s">
        <v>270</v>
      </c>
      <c r="K687" s="4">
        <v>2021120</v>
      </c>
      <c r="L687" s="41">
        <v>97.322999999999993</v>
      </c>
      <c r="M687" s="4">
        <v>1946460</v>
      </c>
      <c r="N687" s="4">
        <v>2000000</v>
      </c>
      <c r="O687" s="4">
        <v>2019674</v>
      </c>
      <c r="P687" s="4">
        <v>0</v>
      </c>
      <c r="Q687" s="4">
        <v>-1446</v>
      </c>
      <c r="R687" s="4">
        <v>0</v>
      </c>
      <c r="S687" s="4">
        <v>0</v>
      </c>
      <c r="T687" s="23">
        <v>5.548</v>
      </c>
      <c r="U687" s="23">
        <v>5.3040000000000003</v>
      </c>
      <c r="V687" s="5" t="s">
        <v>268</v>
      </c>
      <c r="W687" s="4">
        <v>43151</v>
      </c>
      <c r="X687" s="4">
        <v>0</v>
      </c>
      <c r="Y687" s="14">
        <v>44776</v>
      </c>
      <c r="Z687" s="14">
        <v>48437</v>
      </c>
      <c r="AA687" s="2"/>
      <c r="AB687" s="69" t="s">
        <v>3892</v>
      </c>
      <c r="AC687" s="5" t="s">
        <v>4178</v>
      </c>
      <c r="AD687" s="2"/>
      <c r="AE687" s="14">
        <v>46610</v>
      </c>
      <c r="AF687" s="23">
        <v>100</v>
      </c>
      <c r="AG687" s="9">
        <v>46610</v>
      </c>
      <c r="AH687" s="5" t="s">
        <v>1283</v>
      </c>
      <c r="AI687" s="5" t="s">
        <v>1766</v>
      </c>
      <c r="AJ687" s="5" t="s">
        <v>824</v>
      </c>
      <c r="AK687" s="21" t="s">
        <v>2</v>
      </c>
      <c r="AL687" s="72" t="s">
        <v>825</v>
      </c>
      <c r="AM687" s="54" t="s">
        <v>4179</v>
      </c>
      <c r="AN687" s="34" t="s">
        <v>512</v>
      </c>
    </row>
    <row r="688" spans="2:40" x14ac:dyDescent="0.3">
      <c r="B688" s="18" t="s">
        <v>2094</v>
      </c>
      <c r="C688" s="47" t="s">
        <v>4027</v>
      </c>
      <c r="D688" s="15" t="s">
        <v>2618</v>
      </c>
      <c r="E688" s="68" t="s">
        <v>2</v>
      </c>
      <c r="F688" s="55" t="s">
        <v>1164</v>
      </c>
      <c r="G688" s="40" t="s">
        <v>2745</v>
      </c>
      <c r="H688" s="71" t="s">
        <v>3894</v>
      </c>
      <c r="I688" s="67" t="s">
        <v>1164</v>
      </c>
      <c r="J688" s="73" t="s">
        <v>270</v>
      </c>
      <c r="K688" s="4">
        <v>5933100</v>
      </c>
      <c r="L688" s="41">
        <v>84.055000000000007</v>
      </c>
      <c r="M688" s="4">
        <v>5043300</v>
      </c>
      <c r="N688" s="4">
        <v>6000000</v>
      </c>
      <c r="O688" s="4">
        <v>5941475</v>
      </c>
      <c r="P688" s="4">
        <v>0</v>
      </c>
      <c r="Q688" s="4">
        <v>8252</v>
      </c>
      <c r="R688" s="4">
        <v>0</v>
      </c>
      <c r="S688" s="4">
        <v>0</v>
      </c>
      <c r="T688" s="23">
        <v>3</v>
      </c>
      <c r="U688" s="23">
        <v>3.1840000000000002</v>
      </c>
      <c r="V688" s="5" t="s">
        <v>3895</v>
      </c>
      <c r="W688" s="4">
        <v>31000</v>
      </c>
      <c r="X688" s="4">
        <v>180000</v>
      </c>
      <c r="Y688" s="14">
        <v>44595</v>
      </c>
      <c r="Z688" s="14">
        <v>47055</v>
      </c>
      <c r="AA688" s="2"/>
      <c r="AB688" s="69" t="s">
        <v>3892</v>
      </c>
      <c r="AC688" s="5" t="s">
        <v>4178</v>
      </c>
      <c r="AD688" s="2"/>
      <c r="AE688" s="14">
        <v>46994</v>
      </c>
      <c r="AF688" s="23">
        <v>100</v>
      </c>
      <c r="AG688" s="6"/>
      <c r="AH688" s="5" t="s">
        <v>2</v>
      </c>
      <c r="AI688" s="5" t="s">
        <v>1497</v>
      </c>
      <c r="AJ688" s="5" t="s">
        <v>2884</v>
      </c>
      <c r="AK688" s="21" t="s">
        <v>2</v>
      </c>
      <c r="AL688" s="72" t="s">
        <v>3894</v>
      </c>
      <c r="AM688" s="54" t="s">
        <v>4179</v>
      </c>
      <c r="AN688" s="34" t="s">
        <v>828</v>
      </c>
    </row>
    <row r="689" spans="2:40" x14ac:dyDescent="0.3">
      <c r="B689" s="18" t="s">
        <v>3529</v>
      </c>
      <c r="C689" s="47" t="s">
        <v>3530</v>
      </c>
      <c r="D689" s="15" t="s">
        <v>379</v>
      </c>
      <c r="E689" s="68" t="s">
        <v>2</v>
      </c>
      <c r="F689" s="55" t="s">
        <v>1164</v>
      </c>
      <c r="G689" s="40" t="s">
        <v>2745</v>
      </c>
      <c r="H689" s="71" t="s">
        <v>3894</v>
      </c>
      <c r="I689" s="67" t="s">
        <v>1164</v>
      </c>
      <c r="J689" s="73" t="s">
        <v>270</v>
      </c>
      <c r="K689" s="4">
        <v>5000000</v>
      </c>
      <c r="L689" s="41">
        <v>96.378</v>
      </c>
      <c r="M689" s="4">
        <v>4818900</v>
      </c>
      <c r="N689" s="4">
        <v>5000000</v>
      </c>
      <c r="O689" s="4">
        <v>5000000</v>
      </c>
      <c r="P689" s="4">
        <v>0</v>
      </c>
      <c r="Q689" s="4">
        <v>0</v>
      </c>
      <c r="R689" s="4">
        <v>0</v>
      </c>
      <c r="S689" s="4">
        <v>0</v>
      </c>
      <c r="T689" s="23">
        <v>5.5</v>
      </c>
      <c r="U689" s="23">
        <v>5.5</v>
      </c>
      <c r="V689" s="5" t="s">
        <v>3898</v>
      </c>
      <c r="W689" s="4">
        <v>12222</v>
      </c>
      <c r="X689" s="4">
        <v>275000</v>
      </c>
      <c r="Y689" s="14">
        <v>44020</v>
      </c>
      <c r="Z689" s="14">
        <v>46736</v>
      </c>
      <c r="AA689" s="2"/>
      <c r="AB689" s="69" t="s">
        <v>3892</v>
      </c>
      <c r="AC689" s="5" t="s">
        <v>4178</v>
      </c>
      <c r="AD689" s="2"/>
      <c r="AE689" s="14">
        <v>45092</v>
      </c>
      <c r="AF689" s="23">
        <v>102.75</v>
      </c>
      <c r="AG689" s="6"/>
      <c r="AH689" s="5" t="s">
        <v>3531</v>
      </c>
      <c r="AI689" s="5" t="s">
        <v>1767</v>
      </c>
      <c r="AJ689" s="5" t="s">
        <v>824</v>
      </c>
      <c r="AK689" s="21" t="s">
        <v>2</v>
      </c>
      <c r="AL689" s="72" t="s">
        <v>3894</v>
      </c>
      <c r="AM689" s="54" t="s">
        <v>4179</v>
      </c>
      <c r="AN689" s="34" t="s">
        <v>828</v>
      </c>
    </row>
    <row r="690" spans="2:40" x14ac:dyDescent="0.3">
      <c r="B690" s="18" t="s">
        <v>137</v>
      </c>
      <c r="C690" s="47" t="s">
        <v>138</v>
      </c>
      <c r="D690" s="15" t="s">
        <v>379</v>
      </c>
      <c r="E690" s="68" t="s">
        <v>2</v>
      </c>
      <c r="F690" s="55" t="s">
        <v>1164</v>
      </c>
      <c r="G690" s="40" t="s">
        <v>2745</v>
      </c>
      <c r="H690" s="71" t="s">
        <v>3894</v>
      </c>
      <c r="I690" s="67" t="s">
        <v>1164</v>
      </c>
      <c r="J690" s="73" t="s">
        <v>270</v>
      </c>
      <c r="K690" s="4">
        <v>4000000</v>
      </c>
      <c r="L690" s="41">
        <v>88.588999999999999</v>
      </c>
      <c r="M690" s="4">
        <v>3543560</v>
      </c>
      <c r="N690" s="4">
        <v>4000000</v>
      </c>
      <c r="O690" s="4">
        <v>4000000</v>
      </c>
      <c r="P690" s="4">
        <v>0</v>
      </c>
      <c r="Q690" s="4">
        <v>0</v>
      </c>
      <c r="R690" s="4">
        <v>0</v>
      </c>
      <c r="S690" s="4">
        <v>0</v>
      </c>
      <c r="T690" s="23">
        <v>4.125</v>
      </c>
      <c r="U690" s="23">
        <v>4.1219999999999999</v>
      </c>
      <c r="V690" s="5" t="s">
        <v>10</v>
      </c>
      <c r="W690" s="4">
        <v>41708</v>
      </c>
      <c r="X690" s="4">
        <v>165000</v>
      </c>
      <c r="Y690" s="14">
        <v>44263</v>
      </c>
      <c r="Z690" s="14">
        <v>47208</v>
      </c>
      <c r="AA690" s="2"/>
      <c r="AB690" s="69" t="s">
        <v>3892</v>
      </c>
      <c r="AC690" s="5" t="s">
        <v>4178</v>
      </c>
      <c r="AD690" s="2"/>
      <c r="AE690" s="14">
        <v>45382</v>
      </c>
      <c r="AF690" s="23">
        <v>102.063</v>
      </c>
      <c r="AG690" s="10"/>
      <c r="AH690" s="5" t="s">
        <v>3531</v>
      </c>
      <c r="AI690" s="5" t="s">
        <v>1767</v>
      </c>
      <c r="AJ690" s="5" t="s">
        <v>824</v>
      </c>
      <c r="AK690" s="21" t="s">
        <v>2</v>
      </c>
      <c r="AL690" s="72" t="s">
        <v>3894</v>
      </c>
      <c r="AM690" s="54" t="s">
        <v>4179</v>
      </c>
      <c r="AN690" s="34" t="s">
        <v>828</v>
      </c>
    </row>
    <row r="691" spans="2:40" x14ac:dyDescent="0.3">
      <c r="B691" s="18" t="s">
        <v>1284</v>
      </c>
      <c r="C691" s="47" t="s">
        <v>2095</v>
      </c>
      <c r="D691" s="15" t="s">
        <v>139</v>
      </c>
      <c r="E691" s="68" t="s">
        <v>2</v>
      </c>
      <c r="F691" s="55" t="s">
        <v>2274</v>
      </c>
      <c r="G691" s="40" t="s">
        <v>2745</v>
      </c>
      <c r="H691" s="71" t="s">
        <v>3894</v>
      </c>
      <c r="I691" s="67" t="s">
        <v>8</v>
      </c>
      <c r="J691" s="73" t="s">
        <v>270</v>
      </c>
      <c r="K691" s="4">
        <v>1560570</v>
      </c>
      <c r="L691" s="41">
        <v>98.316999999999993</v>
      </c>
      <c r="M691" s="4">
        <v>1474755</v>
      </c>
      <c r="N691" s="4">
        <v>1500000</v>
      </c>
      <c r="O691" s="4">
        <v>1525260</v>
      </c>
      <c r="P691" s="4">
        <v>0</v>
      </c>
      <c r="Q691" s="4">
        <v>-9954</v>
      </c>
      <c r="R691" s="4">
        <v>0</v>
      </c>
      <c r="S691" s="4">
        <v>0</v>
      </c>
      <c r="T691" s="23">
        <v>4.875</v>
      </c>
      <c r="U691" s="23">
        <v>4.1210000000000004</v>
      </c>
      <c r="V691" s="5" t="s">
        <v>3409</v>
      </c>
      <c r="W691" s="4">
        <v>9547</v>
      </c>
      <c r="X691" s="4">
        <v>73125</v>
      </c>
      <c r="Y691" s="14">
        <v>43553</v>
      </c>
      <c r="Z691" s="14">
        <v>45791</v>
      </c>
      <c r="AA691" s="2"/>
      <c r="AB691" s="69" t="s">
        <v>3892</v>
      </c>
      <c r="AC691" s="5" t="s">
        <v>4178</v>
      </c>
      <c r="AD691" s="2"/>
      <c r="AE691" s="10"/>
      <c r="AF691" s="23"/>
      <c r="AG691" s="10"/>
      <c r="AH691" s="5" t="s">
        <v>380</v>
      </c>
      <c r="AI691" s="5" t="s">
        <v>3532</v>
      </c>
      <c r="AJ691" s="5" t="s">
        <v>824</v>
      </c>
      <c r="AK691" s="21" t="s">
        <v>2</v>
      </c>
      <c r="AL691" s="72" t="s">
        <v>3894</v>
      </c>
      <c r="AM691" s="54" t="s">
        <v>4179</v>
      </c>
      <c r="AN691" s="34" t="s">
        <v>1189</v>
      </c>
    </row>
    <row r="692" spans="2:40" x14ac:dyDescent="0.3">
      <c r="B692" s="18" t="s">
        <v>2409</v>
      </c>
      <c r="C692" s="47" t="s">
        <v>140</v>
      </c>
      <c r="D692" s="15" t="s">
        <v>139</v>
      </c>
      <c r="E692" s="68" t="s">
        <v>2</v>
      </c>
      <c r="F692" s="55" t="s">
        <v>1164</v>
      </c>
      <c r="G692" s="40" t="s">
        <v>2745</v>
      </c>
      <c r="H692" s="71" t="s">
        <v>3894</v>
      </c>
      <c r="I692" s="67" t="s">
        <v>8</v>
      </c>
      <c r="J692" s="73" t="s">
        <v>270</v>
      </c>
      <c r="K692" s="4">
        <v>1998900</v>
      </c>
      <c r="L692" s="41">
        <v>96.741</v>
      </c>
      <c r="M692" s="4">
        <v>1934820</v>
      </c>
      <c r="N692" s="4">
        <v>2000000</v>
      </c>
      <c r="O692" s="4">
        <v>1999708</v>
      </c>
      <c r="P692" s="4">
        <v>0</v>
      </c>
      <c r="Q692" s="4">
        <v>164</v>
      </c>
      <c r="R692" s="4">
        <v>0</v>
      </c>
      <c r="S692" s="4">
        <v>0</v>
      </c>
      <c r="T692" s="23">
        <v>3.625</v>
      </c>
      <c r="U692" s="23">
        <v>3.6339999999999999</v>
      </c>
      <c r="V692" s="5" t="s">
        <v>10</v>
      </c>
      <c r="W692" s="4">
        <v>22153</v>
      </c>
      <c r="X692" s="4">
        <v>72500</v>
      </c>
      <c r="Y692" s="14">
        <v>42984</v>
      </c>
      <c r="Z692" s="14">
        <v>45546</v>
      </c>
      <c r="AA692" s="2"/>
      <c r="AB692" s="69" t="s">
        <v>3892</v>
      </c>
      <c r="AC692" s="5" t="s">
        <v>4178</v>
      </c>
      <c r="AD692" s="2"/>
      <c r="AE692" s="10"/>
      <c r="AF692" s="23"/>
      <c r="AG692" s="6"/>
      <c r="AH692" s="5" t="s">
        <v>380</v>
      </c>
      <c r="AI692" s="5" t="s">
        <v>3532</v>
      </c>
      <c r="AJ692" s="5" t="s">
        <v>824</v>
      </c>
      <c r="AK692" s="21" t="s">
        <v>2</v>
      </c>
      <c r="AL692" s="72" t="s">
        <v>3894</v>
      </c>
      <c r="AM692" s="54" t="s">
        <v>4179</v>
      </c>
      <c r="AN692" s="34" t="s">
        <v>1189</v>
      </c>
    </row>
    <row r="693" spans="2:40" x14ac:dyDescent="0.3">
      <c r="B693" s="18" t="s">
        <v>3533</v>
      </c>
      <c r="C693" s="47" t="s">
        <v>141</v>
      </c>
      <c r="D693" s="15" t="s">
        <v>139</v>
      </c>
      <c r="E693" s="68" t="s">
        <v>2</v>
      </c>
      <c r="F693" s="55" t="s">
        <v>1164</v>
      </c>
      <c r="G693" s="40" t="s">
        <v>2745</v>
      </c>
      <c r="H693" s="71" t="s">
        <v>3894</v>
      </c>
      <c r="I693" s="67" t="s">
        <v>8</v>
      </c>
      <c r="J693" s="73" t="s">
        <v>270</v>
      </c>
      <c r="K693" s="4">
        <v>2466275</v>
      </c>
      <c r="L693" s="41">
        <v>94.710999999999999</v>
      </c>
      <c r="M693" s="4">
        <v>2367775</v>
      </c>
      <c r="N693" s="4">
        <v>2500000</v>
      </c>
      <c r="O693" s="4">
        <v>2477435</v>
      </c>
      <c r="P693" s="4">
        <v>0</v>
      </c>
      <c r="Q693" s="4">
        <v>4263</v>
      </c>
      <c r="R693" s="4">
        <v>0</v>
      </c>
      <c r="S693" s="4">
        <v>0</v>
      </c>
      <c r="T693" s="23">
        <v>4</v>
      </c>
      <c r="U693" s="23">
        <v>4.2140000000000004</v>
      </c>
      <c r="V693" s="5" t="s">
        <v>10</v>
      </c>
      <c r="W693" s="4">
        <v>30556</v>
      </c>
      <c r="X693" s="4">
        <v>100000</v>
      </c>
      <c r="Y693" s="14">
        <v>43943</v>
      </c>
      <c r="Z693" s="14">
        <v>46641</v>
      </c>
      <c r="AA693" s="2"/>
      <c r="AB693" s="69" t="s">
        <v>3892</v>
      </c>
      <c r="AC693" s="5" t="s">
        <v>4178</v>
      </c>
      <c r="AD693" s="2"/>
      <c r="AE693" s="10"/>
      <c r="AF693" s="23"/>
      <c r="AG693" s="6"/>
      <c r="AH693" s="5" t="s">
        <v>380</v>
      </c>
      <c r="AI693" s="5" t="s">
        <v>3532</v>
      </c>
      <c r="AJ693" s="5" t="s">
        <v>824</v>
      </c>
      <c r="AK693" s="21" t="s">
        <v>2</v>
      </c>
      <c r="AL693" s="72" t="s">
        <v>3894</v>
      </c>
      <c r="AM693" s="54" t="s">
        <v>4179</v>
      </c>
      <c r="AN693" s="34" t="s">
        <v>1189</v>
      </c>
    </row>
    <row r="694" spans="2:40" x14ac:dyDescent="0.3">
      <c r="B694" s="18" t="s">
        <v>142</v>
      </c>
      <c r="C694" s="47" t="s">
        <v>4366</v>
      </c>
      <c r="D694" s="15" t="s">
        <v>139</v>
      </c>
      <c r="E694" s="68" t="s">
        <v>2</v>
      </c>
      <c r="F694" s="55" t="s">
        <v>1164</v>
      </c>
      <c r="G694" s="40" t="s">
        <v>2745</v>
      </c>
      <c r="H694" s="71" t="s">
        <v>3894</v>
      </c>
      <c r="I694" s="67" t="s">
        <v>8</v>
      </c>
      <c r="J694" s="73" t="s">
        <v>270</v>
      </c>
      <c r="K694" s="4">
        <v>4971400</v>
      </c>
      <c r="L694" s="41">
        <v>84.245000000000005</v>
      </c>
      <c r="M694" s="4">
        <v>4212235</v>
      </c>
      <c r="N694" s="4">
        <v>5000000</v>
      </c>
      <c r="O694" s="4">
        <v>4978275</v>
      </c>
      <c r="P694" s="4">
        <v>0</v>
      </c>
      <c r="Q694" s="4">
        <v>3877</v>
      </c>
      <c r="R694" s="4">
        <v>0</v>
      </c>
      <c r="S694" s="4">
        <v>0</v>
      </c>
      <c r="T694" s="23">
        <v>2.25</v>
      </c>
      <c r="U694" s="23">
        <v>2.339</v>
      </c>
      <c r="V694" s="5" t="s">
        <v>10</v>
      </c>
      <c r="W694" s="4">
        <v>32500</v>
      </c>
      <c r="X694" s="4">
        <v>112500</v>
      </c>
      <c r="Y694" s="14">
        <v>44270</v>
      </c>
      <c r="Z694" s="14">
        <v>46829</v>
      </c>
      <c r="AA694" s="2"/>
      <c r="AB694" s="69" t="s">
        <v>3892</v>
      </c>
      <c r="AC694" s="5" t="s">
        <v>7</v>
      </c>
      <c r="AD694" s="2"/>
      <c r="AE694" s="9">
        <v>46769</v>
      </c>
      <c r="AF694" s="23">
        <v>100</v>
      </c>
      <c r="AG694" s="6"/>
      <c r="AH694" s="5" t="s">
        <v>380</v>
      </c>
      <c r="AI694" s="5" t="s">
        <v>3532</v>
      </c>
      <c r="AJ694" s="5" t="s">
        <v>824</v>
      </c>
      <c r="AK694" s="21" t="s">
        <v>2</v>
      </c>
      <c r="AL694" s="72" t="s">
        <v>3894</v>
      </c>
      <c r="AM694" s="54" t="s">
        <v>4179</v>
      </c>
      <c r="AN694" s="34" t="s">
        <v>1189</v>
      </c>
    </row>
    <row r="695" spans="2:40" x14ac:dyDescent="0.3">
      <c r="B695" s="18" t="s">
        <v>1285</v>
      </c>
      <c r="C695" s="47" t="s">
        <v>2410</v>
      </c>
      <c r="D695" s="15" t="s">
        <v>625</v>
      </c>
      <c r="E695" s="68" t="s">
        <v>2</v>
      </c>
      <c r="F695" s="55" t="s">
        <v>1164</v>
      </c>
      <c r="G695" s="40" t="s">
        <v>2</v>
      </c>
      <c r="H695" s="71" t="s">
        <v>3894</v>
      </c>
      <c r="I695" s="67" t="s">
        <v>1164</v>
      </c>
      <c r="J695" s="73" t="s">
        <v>2</v>
      </c>
      <c r="K695" s="4">
        <v>5000000</v>
      </c>
      <c r="L695" s="41">
        <v>98.012</v>
      </c>
      <c r="M695" s="4">
        <v>4900600</v>
      </c>
      <c r="N695" s="4">
        <v>5000000</v>
      </c>
      <c r="O695" s="4">
        <v>5000000</v>
      </c>
      <c r="P695" s="4">
        <v>0</v>
      </c>
      <c r="Q695" s="4">
        <v>0</v>
      </c>
      <c r="R695" s="4">
        <v>0</v>
      </c>
      <c r="S695" s="4">
        <v>0</v>
      </c>
      <c r="T695" s="23">
        <v>4.75</v>
      </c>
      <c r="U695" s="23">
        <v>4.75</v>
      </c>
      <c r="V695" s="5" t="s">
        <v>1916</v>
      </c>
      <c r="W695" s="4">
        <v>112153</v>
      </c>
      <c r="X695" s="4">
        <v>237500</v>
      </c>
      <c r="Y695" s="14">
        <v>43292</v>
      </c>
      <c r="Z695" s="14">
        <v>45849</v>
      </c>
      <c r="AA695" s="2"/>
      <c r="AB695" s="69" t="s">
        <v>1671</v>
      </c>
      <c r="AC695" s="5" t="s">
        <v>2</v>
      </c>
      <c r="AD695" s="2"/>
      <c r="AE695" s="6"/>
      <c r="AF695" s="23"/>
      <c r="AG695" s="6"/>
      <c r="AH695" s="5" t="s">
        <v>1498</v>
      </c>
      <c r="AI695" s="5" t="s">
        <v>381</v>
      </c>
      <c r="AJ695" s="5" t="s">
        <v>381</v>
      </c>
      <c r="AK695" s="21" t="s">
        <v>2</v>
      </c>
      <c r="AL695" s="72" t="s">
        <v>3894</v>
      </c>
      <c r="AM695" s="54" t="s">
        <v>4179</v>
      </c>
      <c r="AN695" s="34" t="s">
        <v>2867</v>
      </c>
    </row>
    <row r="696" spans="2:40" x14ac:dyDescent="0.3">
      <c r="B696" s="18" t="s">
        <v>2885</v>
      </c>
      <c r="C696" s="47" t="s">
        <v>382</v>
      </c>
      <c r="D696" s="15" t="s">
        <v>3534</v>
      </c>
      <c r="E696" s="68" t="s">
        <v>2</v>
      </c>
      <c r="F696" s="55" t="s">
        <v>2274</v>
      </c>
      <c r="G696" s="40" t="s">
        <v>2745</v>
      </c>
      <c r="H696" s="71" t="s">
        <v>3894</v>
      </c>
      <c r="I696" s="67" t="s">
        <v>1164</v>
      </c>
      <c r="J696" s="73" t="s">
        <v>270</v>
      </c>
      <c r="K696" s="4">
        <v>3528805</v>
      </c>
      <c r="L696" s="41">
        <v>85.795000000000002</v>
      </c>
      <c r="M696" s="4">
        <v>3002825</v>
      </c>
      <c r="N696" s="4">
        <v>3500000</v>
      </c>
      <c r="O696" s="4">
        <v>3517558</v>
      </c>
      <c r="P696" s="4">
        <v>0</v>
      </c>
      <c r="Q696" s="4">
        <v>-4095</v>
      </c>
      <c r="R696" s="4">
        <v>0</v>
      </c>
      <c r="S696" s="4">
        <v>0</v>
      </c>
      <c r="T696" s="23">
        <v>3.25</v>
      </c>
      <c r="U696" s="23">
        <v>3.1150000000000002</v>
      </c>
      <c r="V696" s="5" t="s">
        <v>268</v>
      </c>
      <c r="W696" s="4">
        <v>42972</v>
      </c>
      <c r="X696" s="4">
        <v>113750</v>
      </c>
      <c r="Y696" s="14">
        <v>43873</v>
      </c>
      <c r="Z696" s="14">
        <v>46433</v>
      </c>
      <c r="AA696" s="2"/>
      <c r="AB696" s="69" t="s">
        <v>3892</v>
      </c>
      <c r="AC696" s="5" t="s">
        <v>4178</v>
      </c>
      <c r="AD696" s="2"/>
      <c r="AE696" s="9">
        <v>46371</v>
      </c>
      <c r="AF696" s="23">
        <v>100</v>
      </c>
      <c r="AG696" s="9">
        <v>46371</v>
      </c>
      <c r="AH696" s="5" t="s">
        <v>2619</v>
      </c>
      <c r="AI696" s="5" t="s">
        <v>3751</v>
      </c>
      <c r="AJ696" s="5" t="s">
        <v>824</v>
      </c>
      <c r="AK696" s="21" t="s">
        <v>2</v>
      </c>
      <c r="AL696" s="72" t="s">
        <v>3894</v>
      </c>
      <c r="AM696" s="54" t="s">
        <v>4179</v>
      </c>
      <c r="AN696" s="34" t="s">
        <v>828</v>
      </c>
    </row>
    <row r="697" spans="2:40" x14ac:dyDescent="0.3">
      <c r="B697" s="18" t="s">
        <v>4028</v>
      </c>
      <c r="C697" s="47" t="s">
        <v>626</v>
      </c>
      <c r="D697" s="15" t="s">
        <v>2096</v>
      </c>
      <c r="E697" s="68" t="s">
        <v>2</v>
      </c>
      <c r="F697" s="55" t="s">
        <v>1164</v>
      </c>
      <c r="G697" s="40" t="s">
        <v>2</v>
      </c>
      <c r="H697" s="71" t="s">
        <v>2745</v>
      </c>
      <c r="I697" s="67" t="s">
        <v>3660</v>
      </c>
      <c r="J697" s="73" t="s">
        <v>270</v>
      </c>
      <c r="K697" s="4">
        <v>3965800</v>
      </c>
      <c r="L697" s="41">
        <v>99.941999999999993</v>
      </c>
      <c r="M697" s="4">
        <v>3997682</v>
      </c>
      <c r="N697" s="4">
        <v>4000000</v>
      </c>
      <c r="O697" s="4">
        <v>3999797</v>
      </c>
      <c r="P697" s="4">
        <v>0</v>
      </c>
      <c r="Q697" s="4">
        <v>7238</v>
      </c>
      <c r="R697" s="4">
        <v>0</v>
      </c>
      <c r="S697" s="4">
        <v>0</v>
      </c>
      <c r="T697" s="23">
        <v>2.75</v>
      </c>
      <c r="U697" s="23">
        <v>2.9350000000000001</v>
      </c>
      <c r="V697" s="5" t="s">
        <v>1916</v>
      </c>
      <c r="W697" s="4">
        <v>51944</v>
      </c>
      <c r="X697" s="4">
        <v>110000</v>
      </c>
      <c r="Y697" s="14">
        <v>43108</v>
      </c>
      <c r="Z697" s="14">
        <v>44937</v>
      </c>
      <c r="AA697" s="2"/>
      <c r="AB697" s="69" t="s">
        <v>3892</v>
      </c>
      <c r="AC697" s="5" t="s">
        <v>7</v>
      </c>
      <c r="AD697" s="2"/>
      <c r="AE697" s="10"/>
      <c r="AF697" s="23"/>
      <c r="AG697" s="6"/>
      <c r="AH697" s="5" t="s">
        <v>3235</v>
      </c>
      <c r="AI697" s="5" t="s">
        <v>4367</v>
      </c>
      <c r="AJ697" s="5" t="s">
        <v>824</v>
      </c>
      <c r="AK697" s="21" t="s">
        <v>2</v>
      </c>
      <c r="AL697" s="72" t="s">
        <v>3894</v>
      </c>
      <c r="AM697" s="54" t="s">
        <v>4179</v>
      </c>
      <c r="AN697" s="34" t="s">
        <v>1170</v>
      </c>
    </row>
    <row r="698" spans="2:40" x14ac:dyDescent="0.3">
      <c r="B698" s="18" t="s">
        <v>627</v>
      </c>
      <c r="C698" s="47" t="s">
        <v>3236</v>
      </c>
      <c r="D698" s="15" t="s">
        <v>983</v>
      </c>
      <c r="E698" s="68" t="s">
        <v>2</v>
      </c>
      <c r="F698" s="55" t="s">
        <v>1164</v>
      </c>
      <c r="G698" s="40" t="s">
        <v>2</v>
      </c>
      <c r="H698" s="71" t="s">
        <v>2745</v>
      </c>
      <c r="I698" s="67" t="s">
        <v>1414</v>
      </c>
      <c r="J698" s="73" t="s">
        <v>270</v>
      </c>
      <c r="K698" s="4">
        <v>1993920</v>
      </c>
      <c r="L698" s="41">
        <v>98.311000000000007</v>
      </c>
      <c r="M698" s="4">
        <v>1966220</v>
      </c>
      <c r="N698" s="4">
        <v>2000000</v>
      </c>
      <c r="O698" s="4">
        <v>1999005</v>
      </c>
      <c r="P698" s="4">
        <v>0</v>
      </c>
      <c r="Q698" s="4">
        <v>934</v>
      </c>
      <c r="R698" s="4">
        <v>0</v>
      </c>
      <c r="S698" s="4">
        <v>0</v>
      </c>
      <c r="T698" s="23">
        <v>3.8</v>
      </c>
      <c r="U698" s="23">
        <v>3.85</v>
      </c>
      <c r="V698" s="5" t="s">
        <v>1916</v>
      </c>
      <c r="W698" s="4">
        <v>36100</v>
      </c>
      <c r="X698" s="4">
        <v>76000</v>
      </c>
      <c r="Y698" s="14">
        <v>42739</v>
      </c>
      <c r="Z698" s="14">
        <v>45301</v>
      </c>
      <c r="AA698" s="2"/>
      <c r="AB698" s="69" t="s">
        <v>3892</v>
      </c>
      <c r="AC698" s="5" t="s">
        <v>4178</v>
      </c>
      <c r="AD698" s="2"/>
      <c r="AE698" s="10"/>
      <c r="AF698" s="23"/>
      <c r="AG698" s="6"/>
      <c r="AH698" s="5" t="s">
        <v>4029</v>
      </c>
      <c r="AI698" s="5" t="s">
        <v>983</v>
      </c>
      <c r="AJ698" s="5" t="s">
        <v>2</v>
      </c>
      <c r="AK698" s="21" t="s">
        <v>2</v>
      </c>
      <c r="AL698" s="72" t="s">
        <v>3894</v>
      </c>
      <c r="AM698" s="54" t="s">
        <v>4179</v>
      </c>
      <c r="AN698" s="34" t="s">
        <v>512</v>
      </c>
    </row>
    <row r="699" spans="2:40" x14ac:dyDescent="0.3">
      <c r="B699" s="18" t="s">
        <v>1768</v>
      </c>
      <c r="C699" s="47" t="s">
        <v>2886</v>
      </c>
      <c r="D699" s="15" t="s">
        <v>2096</v>
      </c>
      <c r="E699" s="68" t="s">
        <v>2</v>
      </c>
      <c r="F699" s="55" t="s">
        <v>2274</v>
      </c>
      <c r="G699" s="40" t="s">
        <v>2</v>
      </c>
      <c r="H699" s="71" t="s">
        <v>3894</v>
      </c>
      <c r="I699" s="67" t="s">
        <v>3408</v>
      </c>
      <c r="J699" s="73" t="s">
        <v>270</v>
      </c>
      <c r="K699" s="4">
        <v>4970100</v>
      </c>
      <c r="L699" s="41">
        <v>93.204999999999998</v>
      </c>
      <c r="M699" s="4">
        <v>4660250</v>
      </c>
      <c r="N699" s="4">
        <v>5000000</v>
      </c>
      <c r="O699" s="4">
        <v>4987375</v>
      </c>
      <c r="P699" s="4">
        <v>0</v>
      </c>
      <c r="Q699" s="4">
        <v>5971</v>
      </c>
      <c r="R699" s="4">
        <v>0</v>
      </c>
      <c r="S699" s="4">
        <v>0</v>
      </c>
      <c r="T699" s="23">
        <v>2.375</v>
      </c>
      <c r="U699" s="23">
        <v>2.5030000000000001</v>
      </c>
      <c r="V699" s="5" t="s">
        <v>1916</v>
      </c>
      <c r="W699" s="4">
        <v>55087</v>
      </c>
      <c r="X699" s="4">
        <v>118750</v>
      </c>
      <c r="Y699" s="14">
        <v>43836</v>
      </c>
      <c r="Z699" s="14">
        <v>45671</v>
      </c>
      <c r="AA699" s="2"/>
      <c r="AB699" s="69" t="s">
        <v>3892</v>
      </c>
      <c r="AC699" s="5" t="s">
        <v>4178</v>
      </c>
      <c r="AD699" s="2"/>
      <c r="AE699" s="10"/>
      <c r="AF699" s="23"/>
      <c r="AG699" s="6"/>
      <c r="AH699" s="5" t="s">
        <v>3235</v>
      </c>
      <c r="AI699" s="5" t="s">
        <v>4367</v>
      </c>
      <c r="AJ699" s="5" t="s">
        <v>824</v>
      </c>
      <c r="AK699" s="21" t="s">
        <v>2</v>
      </c>
      <c r="AL699" s="72" t="s">
        <v>3894</v>
      </c>
      <c r="AM699" s="54" t="s">
        <v>4179</v>
      </c>
      <c r="AN699" s="34" t="s">
        <v>1650</v>
      </c>
    </row>
    <row r="700" spans="2:40" x14ac:dyDescent="0.3">
      <c r="B700" s="18" t="s">
        <v>2887</v>
      </c>
      <c r="C700" s="47" t="s">
        <v>2620</v>
      </c>
      <c r="D700" s="15" t="s">
        <v>2096</v>
      </c>
      <c r="E700" s="68" t="s">
        <v>2</v>
      </c>
      <c r="F700" s="55" t="s">
        <v>1164</v>
      </c>
      <c r="G700" s="40" t="s">
        <v>3894</v>
      </c>
      <c r="H700" s="71" t="s">
        <v>3894</v>
      </c>
      <c r="I700" s="67" t="s">
        <v>3408</v>
      </c>
      <c r="J700" s="73" t="s">
        <v>270</v>
      </c>
      <c r="K700" s="4">
        <v>25101550</v>
      </c>
      <c r="L700" s="41">
        <v>88.956000000000003</v>
      </c>
      <c r="M700" s="4">
        <v>22239000</v>
      </c>
      <c r="N700" s="4">
        <v>25000000</v>
      </c>
      <c r="O700" s="4">
        <v>25059068</v>
      </c>
      <c r="P700" s="4">
        <v>0</v>
      </c>
      <c r="Q700" s="4">
        <v>-20893</v>
      </c>
      <c r="R700" s="4">
        <v>0</v>
      </c>
      <c r="S700" s="4">
        <v>0</v>
      </c>
      <c r="T700" s="23">
        <v>1.6519999999999999</v>
      </c>
      <c r="U700" s="23">
        <v>1.5620000000000001</v>
      </c>
      <c r="V700" s="5" t="s">
        <v>3895</v>
      </c>
      <c r="W700" s="4">
        <v>97514</v>
      </c>
      <c r="X700" s="4">
        <v>413000</v>
      </c>
      <c r="Y700" s="14">
        <v>44175</v>
      </c>
      <c r="Z700" s="14">
        <v>46301</v>
      </c>
      <c r="AA700" s="2"/>
      <c r="AB700" s="69" t="s">
        <v>3892</v>
      </c>
      <c r="AC700" s="5" t="s">
        <v>4178</v>
      </c>
      <c r="AD700" s="2"/>
      <c r="AE700" s="14">
        <v>45936</v>
      </c>
      <c r="AF700" s="23">
        <v>100</v>
      </c>
      <c r="AG700" s="9">
        <v>45936</v>
      </c>
      <c r="AH700" s="5" t="s">
        <v>3235</v>
      </c>
      <c r="AI700" s="5" t="s">
        <v>4367</v>
      </c>
      <c r="AJ700" s="5" t="s">
        <v>824</v>
      </c>
      <c r="AK700" s="21" t="s">
        <v>2</v>
      </c>
      <c r="AL700" s="72" t="s">
        <v>3894</v>
      </c>
      <c r="AM700" s="54" t="s">
        <v>4179</v>
      </c>
      <c r="AN700" s="34" t="s">
        <v>1650</v>
      </c>
    </row>
    <row r="701" spans="2:40" x14ac:dyDescent="0.3">
      <c r="B701" s="18" t="s">
        <v>4030</v>
      </c>
      <c r="C701" s="47" t="s">
        <v>984</v>
      </c>
      <c r="D701" s="15" t="s">
        <v>4368</v>
      </c>
      <c r="E701" s="68" t="s">
        <v>2</v>
      </c>
      <c r="F701" s="55" t="s">
        <v>1164</v>
      </c>
      <c r="G701" s="40" t="s">
        <v>3894</v>
      </c>
      <c r="H701" s="71" t="s">
        <v>2745</v>
      </c>
      <c r="I701" s="67" t="s">
        <v>1414</v>
      </c>
      <c r="J701" s="73" t="s">
        <v>270</v>
      </c>
      <c r="K701" s="4">
        <v>4000000</v>
      </c>
      <c r="L701" s="41">
        <v>85.56</v>
      </c>
      <c r="M701" s="4">
        <v>3422400</v>
      </c>
      <c r="N701" s="4">
        <v>4000000</v>
      </c>
      <c r="O701" s="4">
        <v>4000000</v>
      </c>
      <c r="P701" s="4">
        <v>0</v>
      </c>
      <c r="Q701" s="4">
        <v>0</v>
      </c>
      <c r="R701" s="4">
        <v>0</v>
      </c>
      <c r="S701" s="4">
        <v>0</v>
      </c>
      <c r="T701" s="23">
        <v>1.722</v>
      </c>
      <c r="U701" s="23">
        <v>1.6020000000000001</v>
      </c>
      <c r="V701" s="5" t="s">
        <v>10</v>
      </c>
      <c r="W701" s="4">
        <v>20473</v>
      </c>
      <c r="X701" s="4">
        <v>68880</v>
      </c>
      <c r="Y701" s="14">
        <v>44446</v>
      </c>
      <c r="Z701" s="14">
        <v>46644</v>
      </c>
      <c r="AA701" s="2"/>
      <c r="AB701" s="69" t="s">
        <v>3892</v>
      </c>
      <c r="AC701" s="5" t="s">
        <v>4178</v>
      </c>
      <c r="AD701" s="2"/>
      <c r="AE701" s="14">
        <v>46279</v>
      </c>
      <c r="AF701" s="23">
        <v>100</v>
      </c>
      <c r="AG701" s="10"/>
      <c r="AH701" s="5" t="s">
        <v>2</v>
      </c>
      <c r="AI701" s="5" t="s">
        <v>4368</v>
      </c>
      <c r="AJ701" s="5" t="s">
        <v>2</v>
      </c>
      <c r="AK701" s="21" t="s">
        <v>2</v>
      </c>
      <c r="AL701" s="72" t="s">
        <v>3894</v>
      </c>
      <c r="AM701" s="54" t="s">
        <v>4179</v>
      </c>
      <c r="AN701" s="34" t="s">
        <v>512</v>
      </c>
    </row>
    <row r="702" spans="2:40" x14ac:dyDescent="0.3">
      <c r="B702" s="18" t="s">
        <v>628</v>
      </c>
      <c r="C702" s="47" t="s">
        <v>1499</v>
      </c>
      <c r="D702" s="15" t="s">
        <v>2411</v>
      </c>
      <c r="E702" s="68" t="s">
        <v>2</v>
      </c>
      <c r="F702" s="55" t="s">
        <v>1164</v>
      </c>
      <c r="G702" s="40" t="s">
        <v>2745</v>
      </c>
      <c r="H702" s="71" t="s">
        <v>3894</v>
      </c>
      <c r="I702" s="67" t="s">
        <v>1164</v>
      </c>
      <c r="J702" s="73" t="s">
        <v>270</v>
      </c>
      <c r="K702" s="4">
        <v>4987050</v>
      </c>
      <c r="L702" s="41">
        <v>97.103999999999999</v>
      </c>
      <c r="M702" s="4">
        <v>4855191</v>
      </c>
      <c r="N702" s="4">
        <v>5000000</v>
      </c>
      <c r="O702" s="4">
        <v>4995221</v>
      </c>
      <c r="P702" s="4">
        <v>0</v>
      </c>
      <c r="Q702" s="4">
        <v>1869</v>
      </c>
      <c r="R702" s="4">
        <v>0</v>
      </c>
      <c r="S702" s="4">
        <v>0</v>
      </c>
      <c r="T702" s="23">
        <v>4.45</v>
      </c>
      <c r="U702" s="23">
        <v>4.4930000000000003</v>
      </c>
      <c r="V702" s="5" t="s">
        <v>3409</v>
      </c>
      <c r="W702" s="4">
        <v>28431</v>
      </c>
      <c r="X702" s="4">
        <v>222500</v>
      </c>
      <c r="Y702" s="14">
        <v>43214</v>
      </c>
      <c r="Z702" s="14">
        <v>45792</v>
      </c>
      <c r="AA702" s="2"/>
      <c r="AB702" s="69" t="s">
        <v>3892</v>
      </c>
      <c r="AC702" s="5" t="s">
        <v>7</v>
      </c>
      <c r="AD702" s="2"/>
      <c r="AE702" s="14">
        <v>45731</v>
      </c>
      <c r="AF702" s="23">
        <v>100</v>
      </c>
      <c r="AG702" s="6"/>
      <c r="AH702" s="5" t="s">
        <v>2888</v>
      </c>
      <c r="AI702" s="5" t="s">
        <v>3752</v>
      </c>
      <c r="AJ702" s="5" t="s">
        <v>824</v>
      </c>
      <c r="AK702" s="21" t="s">
        <v>2</v>
      </c>
      <c r="AL702" s="72" t="s">
        <v>3894</v>
      </c>
      <c r="AM702" s="54" t="s">
        <v>4179</v>
      </c>
      <c r="AN702" s="34" t="s">
        <v>828</v>
      </c>
    </row>
    <row r="703" spans="2:40" x14ac:dyDescent="0.3">
      <c r="B703" s="18" t="s">
        <v>2097</v>
      </c>
      <c r="C703" s="47" t="s">
        <v>1769</v>
      </c>
      <c r="D703" s="15" t="s">
        <v>383</v>
      </c>
      <c r="E703" s="68" t="s">
        <v>2</v>
      </c>
      <c r="F703" s="55" t="s">
        <v>1164</v>
      </c>
      <c r="G703" s="40" t="s">
        <v>2</v>
      </c>
      <c r="H703" s="71" t="s">
        <v>2745</v>
      </c>
      <c r="I703" s="67" t="s">
        <v>1414</v>
      </c>
      <c r="J703" s="73" t="s">
        <v>270</v>
      </c>
      <c r="K703" s="4">
        <v>3992840</v>
      </c>
      <c r="L703" s="41">
        <v>96.376000000000005</v>
      </c>
      <c r="M703" s="4">
        <v>3855040</v>
      </c>
      <c r="N703" s="4">
        <v>4000000</v>
      </c>
      <c r="O703" s="4">
        <v>3997755</v>
      </c>
      <c r="P703" s="4">
        <v>0</v>
      </c>
      <c r="Q703" s="4">
        <v>1055</v>
      </c>
      <c r="R703" s="4">
        <v>0</v>
      </c>
      <c r="S703" s="4">
        <v>0</v>
      </c>
      <c r="T703" s="23">
        <v>3.375</v>
      </c>
      <c r="U703" s="23">
        <v>3.4039999999999999</v>
      </c>
      <c r="V703" s="5" t="s">
        <v>1916</v>
      </c>
      <c r="W703" s="4">
        <v>64500</v>
      </c>
      <c r="X703" s="4">
        <v>135000</v>
      </c>
      <c r="Y703" s="14">
        <v>43102</v>
      </c>
      <c r="Z703" s="14">
        <v>45666</v>
      </c>
      <c r="AA703" s="2"/>
      <c r="AB703" s="69" t="s">
        <v>3892</v>
      </c>
      <c r="AC703" s="5" t="s">
        <v>4178</v>
      </c>
      <c r="AD703" s="2"/>
      <c r="AE703" s="6"/>
      <c r="AF703" s="23"/>
      <c r="AG703" s="6"/>
      <c r="AH703" s="5" t="s">
        <v>4029</v>
      </c>
      <c r="AI703" s="5" t="s">
        <v>983</v>
      </c>
      <c r="AJ703" s="5" t="s">
        <v>824</v>
      </c>
      <c r="AK703" s="21" t="s">
        <v>2</v>
      </c>
      <c r="AL703" s="72" t="s">
        <v>3894</v>
      </c>
      <c r="AM703" s="54" t="s">
        <v>4179</v>
      </c>
      <c r="AN703" s="34" t="s">
        <v>512</v>
      </c>
    </row>
    <row r="704" spans="2:40" x14ac:dyDescent="0.3">
      <c r="B704" s="18" t="s">
        <v>3237</v>
      </c>
      <c r="C704" s="47" t="s">
        <v>1770</v>
      </c>
      <c r="D704" s="15" t="s">
        <v>383</v>
      </c>
      <c r="E704" s="68" t="s">
        <v>2</v>
      </c>
      <c r="F704" s="55" t="s">
        <v>1164</v>
      </c>
      <c r="G704" s="40" t="s">
        <v>2</v>
      </c>
      <c r="H704" s="71" t="s">
        <v>2745</v>
      </c>
      <c r="I704" s="67" t="s">
        <v>1414</v>
      </c>
      <c r="J704" s="73" t="s">
        <v>270</v>
      </c>
      <c r="K704" s="4">
        <v>2993580</v>
      </c>
      <c r="L704" s="41">
        <v>99.754000000000005</v>
      </c>
      <c r="M704" s="4">
        <v>2992623</v>
      </c>
      <c r="N704" s="4">
        <v>3000000</v>
      </c>
      <c r="O704" s="4">
        <v>2999769</v>
      </c>
      <c r="P704" s="4">
        <v>0</v>
      </c>
      <c r="Q704" s="4">
        <v>1368</v>
      </c>
      <c r="R704" s="4">
        <v>0</v>
      </c>
      <c r="S704" s="4">
        <v>0</v>
      </c>
      <c r="T704" s="23">
        <v>3.5</v>
      </c>
      <c r="U704" s="23">
        <v>3.5470000000000002</v>
      </c>
      <c r="V704" s="5" t="s">
        <v>10</v>
      </c>
      <c r="W704" s="4">
        <v>35000</v>
      </c>
      <c r="X704" s="4">
        <v>105000</v>
      </c>
      <c r="Y704" s="14">
        <v>43153</v>
      </c>
      <c r="Z704" s="14">
        <v>44986</v>
      </c>
      <c r="AA704" s="2"/>
      <c r="AB704" s="69" t="s">
        <v>3892</v>
      </c>
      <c r="AC704" s="5" t="s">
        <v>7</v>
      </c>
      <c r="AD704" s="2"/>
      <c r="AE704" s="10"/>
      <c r="AF704" s="23"/>
      <c r="AG704" s="6"/>
      <c r="AH704" s="5" t="s">
        <v>4029</v>
      </c>
      <c r="AI704" s="5" t="s">
        <v>983</v>
      </c>
      <c r="AJ704" s="5" t="s">
        <v>824</v>
      </c>
      <c r="AK704" s="21" t="s">
        <v>2</v>
      </c>
      <c r="AL704" s="72" t="s">
        <v>3894</v>
      </c>
      <c r="AM704" s="54" t="s">
        <v>4179</v>
      </c>
      <c r="AN704" s="34" t="s">
        <v>512</v>
      </c>
    </row>
    <row r="705" spans="2:40" x14ac:dyDescent="0.3">
      <c r="B705" s="18" t="s">
        <v>4369</v>
      </c>
      <c r="C705" s="47" t="s">
        <v>4370</v>
      </c>
      <c r="D705" s="15" t="s">
        <v>383</v>
      </c>
      <c r="E705" s="68" t="s">
        <v>2</v>
      </c>
      <c r="F705" s="55" t="s">
        <v>1164</v>
      </c>
      <c r="G705" s="40" t="s">
        <v>3894</v>
      </c>
      <c r="H705" s="71" t="s">
        <v>2745</v>
      </c>
      <c r="I705" s="67" t="s">
        <v>1414</v>
      </c>
      <c r="J705" s="73" t="s">
        <v>270</v>
      </c>
      <c r="K705" s="4">
        <v>4179920</v>
      </c>
      <c r="L705" s="41">
        <v>92.204999999999998</v>
      </c>
      <c r="M705" s="4">
        <v>3688200</v>
      </c>
      <c r="N705" s="4">
        <v>4000000</v>
      </c>
      <c r="O705" s="4">
        <v>4092003</v>
      </c>
      <c r="P705" s="4">
        <v>0</v>
      </c>
      <c r="Q705" s="4">
        <v>-36922</v>
      </c>
      <c r="R705" s="4">
        <v>0</v>
      </c>
      <c r="S705" s="4">
        <v>0</v>
      </c>
      <c r="T705" s="23">
        <v>2.2189999999999999</v>
      </c>
      <c r="U705" s="23">
        <v>1.258</v>
      </c>
      <c r="V705" s="5" t="s">
        <v>3898</v>
      </c>
      <c r="W705" s="4">
        <v>5424</v>
      </c>
      <c r="X705" s="4">
        <v>88760</v>
      </c>
      <c r="Y705" s="14">
        <v>44047</v>
      </c>
      <c r="Z705" s="14">
        <v>46182</v>
      </c>
      <c r="AA705" s="2"/>
      <c r="AB705" s="69" t="s">
        <v>3892</v>
      </c>
      <c r="AC705" s="5" t="s">
        <v>4178</v>
      </c>
      <c r="AD705" s="2"/>
      <c r="AE705" s="14">
        <v>45817</v>
      </c>
      <c r="AF705" s="23">
        <v>100</v>
      </c>
      <c r="AG705" s="9">
        <v>45817</v>
      </c>
      <c r="AH705" s="5" t="s">
        <v>4029</v>
      </c>
      <c r="AI705" s="5" t="s">
        <v>983</v>
      </c>
      <c r="AJ705" s="5" t="s">
        <v>824</v>
      </c>
      <c r="AK705" s="21" t="s">
        <v>2</v>
      </c>
      <c r="AL705" s="72" t="s">
        <v>3894</v>
      </c>
      <c r="AM705" s="54" t="s">
        <v>4179</v>
      </c>
      <c r="AN705" s="34" t="s">
        <v>512</v>
      </c>
    </row>
    <row r="706" spans="2:40" x14ac:dyDescent="0.3">
      <c r="B706" s="18" t="s">
        <v>1771</v>
      </c>
      <c r="C706" s="47" t="s">
        <v>985</v>
      </c>
      <c r="D706" s="15" t="s">
        <v>383</v>
      </c>
      <c r="E706" s="68" t="s">
        <v>2</v>
      </c>
      <c r="F706" s="55" t="s">
        <v>1164</v>
      </c>
      <c r="G706" s="40" t="s">
        <v>3894</v>
      </c>
      <c r="H706" s="71" t="s">
        <v>2745</v>
      </c>
      <c r="I706" s="67" t="s">
        <v>1414</v>
      </c>
      <c r="J706" s="73" t="s">
        <v>270</v>
      </c>
      <c r="K706" s="4">
        <v>5000000</v>
      </c>
      <c r="L706" s="41">
        <v>81.724999999999994</v>
      </c>
      <c r="M706" s="4">
        <v>4086250</v>
      </c>
      <c r="N706" s="4">
        <v>5000000</v>
      </c>
      <c r="O706" s="4">
        <v>4999908</v>
      </c>
      <c r="P706" s="4">
        <v>0</v>
      </c>
      <c r="Q706" s="4">
        <v>-71</v>
      </c>
      <c r="R706" s="4">
        <v>0</v>
      </c>
      <c r="S706" s="4">
        <v>0</v>
      </c>
      <c r="T706" s="23">
        <v>2.1589999999999998</v>
      </c>
      <c r="U706" s="23">
        <v>2.1579999999999999</v>
      </c>
      <c r="V706" s="5" t="s">
        <v>10</v>
      </c>
      <c r="W706" s="4">
        <v>32385</v>
      </c>
      <c r="X706" s="4">
        <v>107950</v>
      </c>
      <c r="Y706" s="14">
        <v>44447</v>
      </c>
      <c r="Z706" s="14">
        <v>47376</v>
      </c>
      <c r="AA706" s="2"/>
      <c r="AB706" s="69" t="s">
        <v>3892</v>
      </c>
      <c r="AC706" s="5" t="s">
        <v>4178</v>
      </c>
      <c r="AD706" s="2"/>
      <c r="AE706" s="14">
        <v>47009</v>
      </c>
      <c r="AF706" s="23">
        <v>100</v>
      </c>
      <c r="AG706" s="10"/>
      <c r="AH706" s="5" t="s">
        <v>4029</v>
      </c>
      <c r="AI706" s="5" t="s">
        <v>983</v>
      </c>
      <c r="AJ706" s="5" t="s">
        <v>824</v>
      </c>
      <c r="AK706" s="21" t="s">
        <v>2</v>
      </c>
      <c r="AL706" s="72" t="s">
        <v>825</v>
      </c>
      <c r="AM706" s="54" t="s">
        <v>4179</v>
      </c>
      <c r="AN706" s="34" t="s">
        <v>512</v>
      </c>
    </row>
    <row r="707" spans="2:40" x14ac:dyDescent="0.3">
      <c r="B707" s="18" t="s">
        <v>2889</v>
      </c>
      <c r="C707" s="47" t="s">
        <v>629</v>
      </c>
      <c r="D707" s="15" t="s">
        <v>383</v>
      </c>
      <c r="E707" s="68" t="s">
        <v>2</v>
      </c>
      <c r="F707" s="55" t="s">
        <v>1164</v>
      </c>
      <c r="G707" s="40" t="s">
        <v>3894</v>
      </c>
      <c r="H707" s="71" t="s">
        <v>2745</v>
      </c>
      <c r="I707" s="67" t="s">
        <v>1414</v>
      </c>
      <c r="J707" s="73" t="s">
        <v>270</v>
      </c>
      <c r="K707" s="4">
        <v>5000000</v>
      </c>
      <c r="L707" s="41">
        <v>88.180999999999997</v>
      </c>
      <c r="M707" s="4">
        <v>4409050</v>
      </c>
      <c r="N707" s="4">
        <v>5000000</v>
      </c>
      <c r="O707" s="4">
        <v>4999995</v>
      </c>
      <c r="P707" s="4">
        <v>0</v>
      </c>
      <c r="Q707" s="4">
        <v>-5</v>
      </c>
      <c r="R707" s="4">
        <v>0</v>
      </c>
      <c r="S707" s="4">
        <v>0</v>
      </c>
      <c r="T707" s="23">
        <v>2.5910000000000002</v>
      </c>
      <c r="U707" s="23">
        <v>2.5910000000000002</v>
      </c>
      <c r="V707" s="5" t="s">
        <v>1916</v>
      </c>
      <c r="W707" s="4">
        <v>57938</v>
      </c>
      <c r="X707" s="4">
        <v>64775</v>
      </c>
      <c r="Y707" s="14">
        <v>44573</v>
      </c>
      <c r="Z707" s="14">
        <v>46772</v>
      </c>
      <c r="AA707" s="2"/>
      <c r="AB707" s="69" t="s">
        <v>3892</v>
      </c>
      <c r="AC707" s="5" t="s">
        <v>4178</v>
      </c>
      <c r="AD707" s="2"/>
      <c r="AE707" s="9">
        <v>46407</v>
      </c>
      <c r="AF707" s="23">
        <v>100</v>
      </c>
      <c r="AG707" s="6"/>
      <c r="AH707" s="5" t="s">
        <v>4029</v>
      </c>
      <c r="AI707" s="5" t="s">
        <v>983</v>
      </c>
      <c r="AJ707" s="5" t="s">
        <v>824</v>
      </c>
      <c r="AK707" s="21" t="s">
        <v>2</v>
      </c>
      <c r="AL707" s="72" t="s">
        <v>825</v>
      </c>
      <c r="AM707" s="54" t="s">
        <v>4179</v>
      </c>
      <c r="AN707" s="34" t="s">
        <v>512</v>
      </c>
    </row>
    <row r="708" spans="2:40" x14ac:dyDescent="0.3">
      <c r="B708" s="18" t="s">
        <v>4031</v>
      </c>
      <c r="C708" s="47" t="s">
        <v>2890</v>
      </c>
      <c r="D708" s="15" t="s">
        <v>384</v>
      </c>
      <c r="E708" s="68" t="s">
        <v>2</v>
      </c>
      <c r="F708" s="55" t="s">
        <v>1164</v>
      </c>
      <c r="G708" s="40" t="s">
        <v>2</v>
      </c>
      <c r="H708" s="71" t="s">
        <v>2745</v>
      </c>
      <c r="I708" s="67" t="s">
        <v>287</v>
      </c>
      <c r="J708" s="73" t="s">
        <v>270</v>
      </c>
      <c r="K708" s="4">
        <v>4994150</v>
      </c>
      <c r="L708" s="41">
        <v>99.456000000000003</v>
      </c>
      <c r="M708" s="4">
        <v>4972806</v>
      </c>
      <c r="N708" s="4">
        <v>5000000</v>
      </c>
      <c r="O708" s="4">
        <v>4999722</v>
      </c>
      <c r="P708" s="4">
        <v>0</v>
      </c>
      <c r="Q708" s="4">
        <v>1123</v>
      </c>
      <c r="R708" s="4">
        <v>0</v>
      </c>
      <c r="S708" s="4">
        <v>0</v>
      </c>
      <c r="T708" s="23">
        <v>2.75</v>
      </c>
      <c r="U708" s="23">
        <v>2.7730000000000001</v>
      </c>
      <c r="V708" s="5" t="s">
        <v>10</v>
      </c>
      <c r="W708" s="4">
        <v>35139</v>
      </c>
      <c r="X708" s="4">
        <v>137500</v>
      </c>
      <c r="Y708" s="14">
        <v>43004</v>
      </c>
      <c r="Z708" s="14">
        <v>45014</v>
      </c>
      <c r="AA708" s="2"/>
      <c r="AB708" s="69" t="s">
        <v>3892</v>
      </c>
      <c r="AC708" s="5" t="s">
        <v>7</v>
      </c>
      <c r="AD708" s="2"/>
      <c r="AE708" s="6"/>
      <c r="AF708" s="23"/>
      <c r="AG708" s="6"/>
      <c r="AH708" s="5" t="s">
        <v>2</v>
      </c>
      <c r="AI708" s="5" t="s">
        <v>2621</v>
      </c>
      <c r="AJ708" s="5" t="s">
        <v>824</v>
      </c>
      <c r="AK708" s="21" t="s">
        <v>2</v>
      </c>
      <c r="AL708" s="72" t="s">
        <v>3894</v>
      </c>
      <c r="AM708" s="54" t="s">
        <v>4179</v>
      </c>
      <c r="AN708" s="34" t="s">
        <v>819</v>
      </c>
    </row>
    <row r="709" spans="2:40" x14ac:dyDescent="0.3">
      <c r="B709" s="18" t="s">
        <v>630</v>
      </c>
      <c r="C709" s="47" t="s">
        <v>1500</v>
      </c>
      <c r="D709" s="15" t="s">
        <v>2891</v>
      </c>
      <c r="E709" s="68" t="s">
        <v>2</v>
      </c>
      <c r="F709" s="55" t="s">
        <v>1164</v>
      </c>
      <c r="G709" s="40" t="s">
        <v>2</v>
      </c>
      <c r="H709" s="71" t="s">
        <v>3894</v>
      </c>
      <c r="I709" s="67" t="s">
        <v>8</v>
      </c>
      <c r="J709" s="73" t="s">
        <v>2</v>
      </c>
      <c r="K709" s="4">
        <v>4000000</v>
      </c>
      <c r="L709" s="41">
        <v>88.956000000000003</v>
      </c>
      <c r="M709" s="4">
        <v>3558240</v>
      </c>
      <c r="N709" s="4">
        <v>4000000</v>
      </c>
      <c r="O709" s="4">
        <v>4000000</v>
      </c>
      <c r="P709" s="4">
        <v>0</v>
      </c>
      <c r="Q709" s="4">
        <v>0</v>
      </c>
      <c r="R709" s="4">
        <v>0</v>
      </c>
      <c r="S709" s="4">
        <v>0</v>
      </c>
      <c r="T709" s="23">
        <v>2.82</v>
      </c>
      <c r="U709" s="23">
        <v>2.82</v>
      </c>
      <c r="V709" s="5" t="s">
        <v>268</v>
      </c>
      <c r="W709" s="4">
        <v>43867</v>
      </c>
      <c r="X709" s="4">
        <v>112800</v>
      </c>
      <c r="Y709" s="14">
        <v>43872</v>
      </c>
      <c r="Z709" s="14">
        <v>46794</v>
      </c>
      <c r="AA709" s="2"/>
      <c r="AB709" s="69" t="s">
        <v>1671</v>
      </c>
      <c r="AC709" s="5" t="s">
        <v>2</v>
      </c>
      <c r="AD709" s="2"/>
      <c r="AE709" s="6"/>
      <c r="AF709" s="23"/>
      <c r="AG709" s="6"/>
      <c r="AH709" s="5" t="s">
        <v>2</v>
      </c>
      <c r="AI709" s="5" t="s">
        <v>2891</v>
      </c>
      <c r="AJ709" s="5" t="s">
        <v>2</v>
      </c>
      <c r="AK709" s="21" t="s">
        <v>2</v>
      </c>
      <c r="AL709" s="72" t="s">
        <v>3894</v>
      </c>
      <c r="AM709" s="54" t="s">
        <v>4179</v>
      </c>
      <c r="AN709" s="34" t="s">
        <v>1439</v>
      </c>
    </row>
    <row r="710" spans="2:40" x14ac:dyDescent="0.3">
      <c r="B710" s="18" t="s">
        <v>1772</v>
      </c>
      <c r="C710" s="47" t="s">
        <v>4032</v>
      </c>
      <c r="D710" s="15" t="s">
        <v>1773</v>
      </c>
      <c r="E710" s="68" t="s">
        <v>2</v>
      </c>
      <c r="F710" s="55" t="s">
        <v>1164</v>
      </c>
      <c r="G710" s="40" t="s">
        <v>2</v>
      </c>
      <c r="H710" s="71" t="s">
        <v>2745</v>
      </c>
      <c r="I710" s="67" t="s">
        <v>2274</v>
      </c>
      <c r="J710" s="73" t="s">
        <v>270</v>
      </c>
      <c r="K710" s="4">
        <v>6933010</v>
      </c>
      <c r="L710" s="41">
        <v>79.582999999999998</v>
      </c>
      <c r="M710" s="4">
        <v>5570810</v>
      </c>
      <c r="N710" s="4">
        <v>7000000</v>
      </c>
      <c r="O710" s="4">
        <v>6940960</v>
      </c>
      <c r="P710" s="4">
        <v>0</v>
      </c>
      <c r="Q710" s="4">
        <v>6156</v>
      </c>
      <c r="R710" s="4">
        <v>0</v>
      </c>
      <c r="S710" s="4">
        <v>0</v>
      </c>
      <c r="T710" s="23">
        <v>1.875</v>
      </c>
      <c r="U710" s="23">
        <v>1.9810000000000001</v>
      </c>
      <c r="V710" s="5" t="s">
        <v>10</v>
      </c>
      <c r="W710" s="4">
        <v>38646</v>
      </c>
      <c r="X710" s="4">
        <v>131250</v>
      </c>
      <c r="Y710" s="14">
        <v>44447</v>
      </c>
      <c r="Z710" s="14">
        <v>48106</v>
      </c>
      <c r="AA710" s="2"/>
      <c r="AB710" s="69" t="s">
        <v>3892</v>
      </c>
      <c r="AC710" s="5" t="s">
        <v>4178</v>
      </c>
      <c r="AD710" s="2"/>
      <c r="AE710" s="10"/>
      <c r="AF710" s="23"/>
      <c r="AG710" s="10"/>
      <c r="AH710" s="5" t="s">
        <v>3535</v>
      </c>
      <c r="AI710" s="5" t="s">
        <v>2622</v>
      </c>
      <c r="AJ710" s="5" t="s">
        <v>824</v>
      </c>
      <c r="AK710" s="21" t="s">
        <v>2</v>
      </c>
      <c r="AL710" s="72" t="s">
        <v>3894</v>
      </c>
      <c r="AM710" s="54" t="s">
        <v>4179</v>
      </c>
      <c r="AN710" s="34" t="s">
        <v>1408</v>
      </c>
    </row>
    <row r="711" spans="2:40" x14ac:dyDescent="0.3">
      <c r="B711" s="18" t="s">
        <v>2892</v>
      </c>
      <c r="C711" s="47" t="s">
        <v>4371</v>
      </c>
      <c r="D711" s="15" t="s">
        <v>4033</v>
      </c>
      <c r="E711" s="68" t="s">
        <v>2</v>
      </c>
      <c r="F711" s="55" t="s">
        <v>2274</v>
      </c>
      <c r="G711" s="40" t="s">
        <v>2</v>
      </c>
      <c r="H711" s="71" t="s">
        <v>2745</v>
      </c>
      <c r="I711" s="67" t="s">
        <v>2274</v>
      </c>
      <c r="J711" s="73" t="s">
        <v>270</v>
      </c>
      <c r="K711" s="4">
        <v>1959640</v>
      </c>
      <c r="L711" s="41">
        <v>97.028000000000006</v>
      </c>
      <c r="M711" s="4">
        <v>1940560</v>
      </c>
      <c r="N711" s="4">
        <v>2000000</v>
      </c>
      <c r="O711" s="4">
        <v>1984853</v>
      </c>
      <c r="P711" s="4">
        <v>0</v>
      </c>
      <c r="Q711" s="4">
        <v>5958</v>
      </c>
      <c r="R711" s="4">
        <v>0</v>
      </c>
      <c r="S711" s="4">
        <v>0</v>
      </c>
      <c r="T711" s="23">
        <v>3.375</v>
      </c>
      <c r="U711" s="23">
        <v>3.7090000000000001</v>
      </c>
      <c r="V711" s="5" t="s">
        <v>3409</v>
      </c>
      <c r="W711" s="4">
        <v>7500</v>
      </c>
      <c r="X711" s="4">
        <v>67500</v>
      </c>
      <c r="Y711" s="14">
        <v>43278</v>
      </c>
      <c r="Z711" s="14">
        <v>45798</v>
      </c>
      <c r="AA711" s="2"/>
      <c r="AB711" s="69" t="s">
        <v>3892</v>
      </c>
      <c r="AC711" s="5" t="s">
        <v>4178</v>
      </c>
      <c r="AD711" s="2"/>
      <c r="AE711" s="10"/>
      <c r="AF711" s="23"/>
      <c r="AG711" s="6"/>
      <c r="AH711" s="5" t="s">
        <v>2</v>
      </c>
      <c r="AI711" s="5" t="s">
        <v>1774</v>
      </c>
      <c r="AJ711" s="5" t="s">
        <v>3536</v>
      </c>
      <c r="AK711" s="21" t="s">
        <v>2</v>
      </c>
      <c r="AL711" s="72" t="s">
        <v>3894</v>
      </c>
      <c r="AM711" s="54" t="s">
        <v>4179</v>
      </c>
      <c r="AN711" s="34" t="s">
        <v>1408</v>
      </c>
    </row>
    <row r="712" spans="2:40" x14ac:dyDescent="0.3">
      <c r="B712" s="18" t="s">
        <v>4372</v>
      </c>
      <c r="C712" s="47" t="s">
        <v>2098</v>
      </c>
      <c r="D712" s="15" t="s">
        <v>3238</v>
      </c>
      <c r="E712" s="68" t="s">
        <v>2</v>
      </c>
      <c r="F712" s="55" t="s">
        <v>1164</v>
      </c>
      <c r="G712" s="40" t="s">
        <v>2</v>
      </c>
      <c r="H712" s="71" t="s">
        <v>2745</v>
      </c>
      <c r="I712" s="67" t="s">
        <v>1414</v>
      </c>
      <c r="J712" s="73" t="s">
        <v>270</v>
      </c>
      <c r="K712" s="4">
        <v>4982400</v>
      </c>
      <c r="L712" s="41">
        <v>99.558999999999997</v>
      </c>
      <c r="M712" s="4">
        <v>4977928</v>
      </c>
      <c r="N712" s="4">
        <v>5000000</v>
      </c>
      <c r="O712" s="4">
        <v>4998798</v>
      </c>
      <c r="P712" s="4">
        <v>0</v>
      </c>
      <c r="Q712" s="4">
        <v>3747</v>
      </c>
      <c r="R712" s="4">
        <v>0</v>
      </c>
      <c r="S712" s="4">
        <v>0</v>
      </c>
      <c r="T712" s="23">
        <v>3.75</v>
      </c>
      <c r="U712" s="23">
        <v>3.8279999999999998</v>
      </c>
      <c r="V712" s="5" t="s">
        <v>3895</v>
      </c>
      <c r="W712" s="4">
        <v>34896</v>
      </c>
      <c r="X712" s="4">
        <v>187500</v>
      </c>
      <c r="Y712" s="14">
        <v>43207</v>
      </c>
      <c r="Z712" s="14">
        <v>45040</v>
      </c>
      <c r="AA712" s="2"/>
      <c r="AB712" s="69" t="s">
        <v>3892</v>
      </c>
      <c r="AC712" s="5" t="s">
        <v>7</v>
      </c>
      <c r="AD712" s="2"/>
      <c r="AE712" s="10"/>
      <c r="AF712" s="23"/>
      <c r="AG712" s="6"/>
      <c r="AH712" s="5" t="s">
        <v>2</v>
      </c>
      <c r="AI712" s="5" t="s">
        <v>2893</v>
      </c>
      <c r="AJ712" s="5" t="s">
        <v>824</v>
      </c>
      <c r="AK712" s="21" t="s">
        <v>2</v>
      </c>
      <c r="AL712" s="72" t="s">
        <v>3894</v>
      </c>
      <c r="AM712" s="54" t="s">
        <v>4179</v>
      </c>
      <c r="AN712" s="34" t="s">
        <v>512</v>
      </c>
    </row>
    <row r="713" spans="2:40" x14ac:dyDescent="0.3">
      <c r="B713" s="18" t="s">
        <v>986</v>
      </c>
      <c r="C713" s="47" t="s">
        <v>631</v>
      </c>
      <c r="D713" s="15" t="s">
        <v>2623</v>
      </c>
      <c r="E713" s="68" t="s">
        <v>2</v>
      </c>
      <c r="F713" s="55" t="s">
        <v>1164</v>
      </c>
      <c r="G713" s="40" t="s">
        <v>3894</v>
      </c>
      <c r="H713" s="71" t="s">
        <v>2745</v>
      </c>
      <c r="I713" s="67" t="s">
        <v>1414</v>
      </c>
      <c r="J713" s="73" t="s">
        <v>270</v>
      </c>
      <c r="K713" s="4">
        <v>8000000</v>
      </c>
      <c r="L713" s="41">
        <v>87.66</v>
      </c>
      <c r="M713" s="4">
        <v>7012800</v>
      </c>
      <c r="N713" s="4">
        <v>8000000</v>
      </c>
      <c r="O713" s="4">
        <v>8000000</v>
      </c>
      <c r="P713" s="4">
        <v>0</v>
      </c>
      <c r="Q713" s="4">
        <v>1</v>
      </c>
      <c r="R713" s="4">
        <v>0</v>
      </c>
      <c r="S713" s="4">
        <v>0</v>
      </c>
      <c r="T713" s="23">
        <v>1.2470000000000001</v>
      </c>
      <c r="U713" s="23">
        <v>1.202</v>
      </c>
      <c r="V713" s="5" t="s">
        <v>1916</v>
      </c>
      <c r="W713" s="4">
        <v>42952</v>
      </c>
      <c r="X713" s="4">
        <v>99760</v>
      </c>
      <c r="Y713" s="14">
        <v>44215</v>
      </c>
      <c r="Z713" s="14">
        <v>46413</v>
      </c>
      <c r="AA713" s="2"/>
      <c r="AB713" s="69" t="s">
        <v>3892</v>
      </c>
      <c r="AC713" s="5" t="s">
        <v>4178</v>
      </c>
      <c r="AD713" s="2"/>
      <c r="AE713" s="14">
        <v>46048</v>
      </c>
      <c r="AF713" s="23">
        <v>100</v>
      </c>
      <c r="AG713" s="10"/>
      <c r="AH713" s="5" t="s">
        <v>987</v>
      </c>
      <c r="AI713" s="5" t="s">
        <v>2624</v>
      </c>
      <c r="AJ713" s="5" t="s">
        <v>824</v>
      </c>
      <c r="AK713" s="21" t="s">
        <v>2</v>
      </c>
      <c r="AL713" s="72" t="s">
        <v>825</v>
      </c>
      <c r="AM713" s="54" t="s">
        <v>4179</v>
      </c>
      <c r="AN713" s="34" t="s">
        <v>512</v>
      </c>
    </row>
    <row r="714" spans="2:40" x14ac:dyDescent="0.3">
      <c r="B714" s="18" t="s">
        <v>2099</v>
      </c>
      <c r="C714" s="47" t="s">
        <v>1775</v>
      </c>
      <c r="D714" s="15" t="s">
        <v>3753</v>
      </c>
      <c r="E714" s="68" t="s">
        <v>2</v>
      </c>
      <c r="F714" s="55" t="s">
        <v>1164</v>
      </c>
      <c r="G714" s="40" t="s">
        <v>2745</v>
      </c>
      <c r="H714" s="71" t="s">
        <v>3894</v>
      </c>
      <c r="I714" s="67" t="s">
        <v>3408</v>
      </c>
      <c r="J714" s="73" t="s">
        <v>270</v>
      </c>
      <c r="K714" s="4">
        <v>6971720</v>
      </c>
      <c r="L714" s="41">
        <v>79.47</v>
      </c>
      <c r="M714" s="4">
        <v>5562900</v>
      </c>
      <c r="N714" s="4">
        <v>7000000</v>
      </c>
      <c r="O714" s="4">
        <v>6977345</v>
      </c>
      <c r="P714" s="4">
        <v>0</v>
      </c>
      <c r="Q714" s="4">
        <v>3845</v>
      </c>
      <c r="R714" s="4">
        <v>0</v>
      </c>
      <c r="S714" s="4">
        <v>0</v>
      </c>
      <c r="T714" s="23">
        <v>1.875</v>
      </c>
      <c r="U714" s="23">
        <v>1.9370000000000001</v>
      </c>
      <c r="V714" s="5" t="s">
        <v>1916</v>
      </c>
      <c r="W714" s="4">
        <v>61615</v>
      </c>
      <c r="X714" s="4">
        <v>131250</v>
      </c>
      <c r="Y714" s="14">
        <v>44384</v>
      </c>
      <c r="Z714" s="14">
        <v>46946</v>
      </c>
      <c r="AA714" s="2"/>
      <c r="AB714" s="69" t="s">
        <v>3892</v>
      </c>
      <c r="AC714" s="5" t="s">
        <v>4178</v>
      </c>
      <c r="AD714" s="2"/>
      <c r="AE714" s="9">
        <v>46885</v>
      </c>
      <c r="AF714" s="23">
        <v>100</v>
      </c>
      <c r="AG714" s="6"/>
      <c r="AH714" s="5" t="s">
        <v>988</v>
      </c>
      <c r="AI714" s="5" t="s">
        <v>3239</v>
      </c>
      <c r="AJ714" s="5" t="s">
        <v>824</v>
      </c>
      <c r="AK714" s="21" t="s">
        <v>2</v>
      </c>
      <c r="AL714" s="72" t="s">
        <v>3894</v>
      </c>
      <c r="AM714" s="54" t="s">
        <v>4179</v>
      </c>
      <c r="AN714" s="34" t="s">
        <v>1650</v>
      </c>
    </row>
    <row r="715" spans="2:40" x14ac:dyDescent="0.3">
      <c r="B715" s="18" t="s">
        <v>3240</v>
      </c>
      <c r="C715" s="47" t="s">
        <v>3537</v>
      </c>
      <c r="D715" s="15" t="s">
        <v>1501</v>
      </c>
      <c r="E715" s="68" t="s">
        <v>2</v>
      </c>
      <c r="F715" s="55" t="s">
        <v>1164</v>
      </c>
      <c r="G715" s="40" t="s">
        <v>2745</v>
      </c>
      <c r="H715" s="71" t="s">
        <v>2745</v>
      </c>
      <c r="I715" s="67" t="s">
        <v>2274</v>
      </c>
      <c r="J715" s="73" t="s">
        <v>270</v>
      </c>
      <c r="K715" s="4">
        <v>10970600</v>
      </c>
      <c r="L715" s="41">
        <v>93.492999999999995</v>
      </c>
      <c r="M715" s="4">
        <v>9349300</v>
      </c>
      <c r="N715" s="4">
        <v>10000000</v>
      </c>
      <c r="O715" s="4">
        <v>10607162</v>
      </c>
      <c r="P715" s="4">
        <v>0</v>
      </c>
      <c r="Q715" s="4">
        <v>-142940</v>
      </c>
      <c r="R715" s="4">
        <v>0</v>
      </c>
      <c r="S715" s="4">
        <v>0</v>
      </c>
      <c r="T715" s="23">
        <v>3</v>
      </c>
      <c r="U715" s="23">
        <v>1.466</v>
      </c>
      <c r="V715" s="5" t="s">
        <v>3895</v>
      </c>
      <c r="W715" s="4">
        <v>70833</v>
      </c>
      <c r="X715" s="4">
        <v>300000</v>
      </c>
      <c r="Y715" s="14">
        <v>43985</v>
      </c>
      <c r="Z715" s="14">
        <v>46483</v>
      </c>
      <c r="AA715" s="2"/>
      <c r="AB715" s="69" t="s">
        <v>3892</v>
      </c>
      <c r="AC715" s="5" t="s">
        <v>4178</v>
      </c>
      <c r="AD715" s="2"/>
      <c r="AE715" s="9">
        <v>46424</v>
      </c>
      <c r="AF715" s="23">
        <v>100</v>
      </c>
      <c r="AG715" s="9">
        <v>46424</v>
      </c>
      <c r="AH715" s="5" t="s">
        <v>2100</v>
      </c>
      <c r="AI715" s="5" t="s">
        <v>1501</v>
      </c>
      <c r="AJ715" s="5" t="s">
        <v>2</v>
      </c>
      <c r="AK715" s="21" t="s">
        <v>2</v>
      </c>
      <c r="AL715" s="72" t="s">
        <v>3894</v>
      </c>
      <c r="AM715" s="54" t="s">
        <v>4179</v>
      </c>
      <c r="AN715" s="34" t="s">
        <v>1408</v>
      </c>
    </row>
    <row r="716" spans="2:40" x14ac:dyDescent="0.3">
      <c r="B716" s="18" t="s">
        <v>632</v>
      </c>
      <c r="C716" s="47" t="s">
        <v>143</v>
      </c>
      <c r="D716" s="15" t="s">
        <v>2894</v>
      </c>
      <c r="E716" s="68" t="s">
        <v>2</v>
      </c>
      <c r="F716" s="55" t="s">
        <v>2274</v>
      </c>
      <c r="G716" s="40" t="s">
        <v>2</v>
      </c>
      <c r="H716" s="71" t="s">
        <v>2745</v>
      </c>
      <c r="I716" s="67" t="s">
        <v>1164</v>
      </c>
      <c r="J716" s="73" t="s">
        <v>270</v>
      </c>
      <c r="K716" s="4">
        <v>7224910</v>
      </c>
      <c r="L716" s="41">
        <v>98.876999999999995</v>
      </c>
      <c r="M716" s="4">
        <v>6921390</v>
      </c>
      <c r="N716" s="4">
        <v>7000000</v>
      </c>
      <c r="O716" s="4">
        <v>7046038</v>
      </c>
      <c r="P716" s="4">
        <v>0</v>
      </c>
      <c r="Q716" s="4">
        <v>-49502</v>
      </c>
      <c r="R716" s="4">
        <v>0</v>
      </c>
      <c r="S716" s="4">
        <v>0</v>
      </c>
      <c r="T716" s="23">
        <v>3.625</v>
      </c>
      <c r="U716" s="23">
        <v>2.8839999999999999</v>
      </c>
      <c r="V716" s="5" t="s">
        <v>3409</v>
      </c>
      <c r="W716" s="4">
        <v>23965</v>
      </c>
      <c r="X716" s="4">
        <v>253750</v>
      </c>
      <c r="Y716" s="14">
        <v>43551</v>
      </c>
      <c r="Z716" s="14">
        <v>45257</v>
      </c>
      <c r="AA716" s="2"/>
      <c r="AB716" s="69" t="s">
        <v>3892</v>
      </c>
      <c r="AC716" s="5" t="s">
        <v>4178</v>
      </c>
      <c r="AD716" s="2"/>
      <c r="AE716" s="10"/>
      <c r="AF716" s="23"/>
      <c r="AG716" s="6"/>
      <c r="AH716" s="5" t="s">
        <v>1502</v>
      </c>
      <c r="AI716" s="5" t="s">
        <v>2894</v>
      </c>
      <c r="AJ716" s="5" t="s">
        <v>2</v>
      </c>
      <c r="AK716" s="21" t="s">
        <v>2</v>
      </c>
      <c r="AL716" s="72" t="s">
        <v>3894</v>
      </c>
      <c r="AM716" s="54" t="s">
        <v>4179</v>
      </c>
      <c r="AN716" s="34" t="s">
        <v>1625</v>
      </c>
    </row>
    <row r="717" spans="2:40" x14ac:dyDescent="0.3">
      <c r="B717" s="18" t="s">
        <v>1776</v>
      </c>
      <c r="C717" s="47" t="s">
        <v>1286</v>
      </c>
      <c r="D717" s="15" t="s">
        <v>2101</v>
      </c>
      <c r="E717" s="68" t="s">
        <v>2</v>
      </c>
      <c r="F717" s="55" t="s">
        <v>1164</v>
      </c>
      <c r="G717" s="40" t="s">
        <v>2745</v>
      </c>
      <c r="H717" s="71" t="s">
        <v>3894</v>
      </c>
      <c r="I717" s="67" t="s">
        <v>8</v>
      </c>
      <c r="J717" s="73" t="s">
        <v>270</v>
      </c>
      <c r="K717" s="4">
        <v>4985100</v>
      </c>
      <c r="L717" s="41">
        <v>94.781999999999996</v>
      </c>
      <c r="M717" s="4">
        <v>4739100</v>
      </c>
      <c r="N717" s="4">
        <v>5000000</v>
      </c>
      <c r="O717" s="4">
        <v>4986995</v>
      </c>
      <c r="P717" s="4">
        <v>0</v>
      </c>
      <c r="Q717" s="4">
        <v>1895</v>
      </c>
      <c r="R717" s="4">
        <v>0</v>
      </c>
      <c r="S717" s="4">
        <v>0</v>
      </c>
      <c r="T717" s="23">
        <v>4.25</v>
      </c>
      <c r="U717" s="23">
        <v>4.3170000000000002</v>
      </c>
      <c r="V717" s="5" t="s">
        <v>3895</v>
      </c>
      <c r="W717" s="4">
        <v>41910</v>
      </c>
      <c r="X717" s="4">
        <v>106250</v>
      </c>
      <c r="Y717" s="14">
        <v>44663</v>
      </c>
      <c r="Z717" s="14">
        <v>46497</v>
      </c>
      <c r="AA717" s="2"/>
      <c r="AB717" s="69" t="s">
        <v>3892</v>
      </c>
      <c r="AC717" s="5" t="s">
        <v>4178</v>
      </c>
      <c r="AD717" s="2"/>
      <c r="AE717" s="14">
        <v>46466</v>
      </c>
      <c r="AF717" s="23">
        <v>100</v>
      </c>
      <c r="AG717" s="6"/>
      <c r="AH717" s="5" t="s">
        <v>2</v>
      </c>
      <c r="AI717" s="5" t="s">
        <v>1777</v>
      </c>
      <c r="AJ717" s="5" t="s">
        <v>824</v>
      </c>
      <c r="AK717" s="21" t="s">
        <v>2</v>
      </c>
      <c r="AL717" s="72" t="s">
        <v>3894</v>
      </c>
      <c r="AM717" s="54" t="s">
        <v>4179</v>
      </c>
      <c r="AN717" s="34" t="s">
        <v>1189</v>
      </c>
    </row>
    <row r="718" spans="2:40" x14ac:dyDescent="0.3">
      <c r="B718" s="18" t="s">
        <v>2895</v>
      </c>
      <c r="C718" s="47" t="s">
        <v>3754</v>
      </c>
      <c r="D718" s="15" t="s">
        <v>1778</v>
      </c>
      <c r="E718" s="68" t="s">
        <v>2</v>
      </c>
      <c r="F718" s="55" t="s">
        <v>2274</v>
      </c>
      <c r="G718" s="40" t="s">
        <v>2745</v>
      </c>
      <c r="H718" s="71" t="s">
        <v>2745</v>
      </c>
      <c r="I718" s="67" t="s">
        <v>1414</v>
      </c>
      <c r="J718" s="73" t="s">
        <v>270</v>
      </c>
      <c r="K718" s="4">
        <v>11430471</v>
      </c>
      <c r="L718" s="41">
        <v>86.745999999999995</v>
      </c>
      <c r="M718" s="4">
        <v>10149282</v>
      </c>
      <c r="N718" s="4">
        <v>11700000</v>
      </c>
      <c r="O718" s="4">
        <v>11404838</v>
      </c>
      <c r="P718" s="4">
        <v>0</v>
      </c>
      <c r="Q718" s="4">
        <v>-25632</v>
      </c>
      <c r="R718" s="4">
        <v>0</v>
      </c>
      <c r="S718" s="4">
        <v>0</v>
      </c>
      <c r="T718" s="23">
        <v>2.2509999999999999</v>
      </c>
      <c r="U718" s="23">
        <v>2.5049999999999999</v>
      </c>
      <c r="V718" s="5" t="s">
        <v>3409</v>
      </c>
      <c r="W718" s="4">
        <v>28531</v>
      </c>
      <c r="X718" s="4">
        <v>263367</v>
      </c>
      <c r="Y718" s="14">
        <v>44603</v>
      </c>
      <c r="Z718" s="14">
        <v>46713</v>
      </c>
      <c r="AA718" s="2"/>
      <c r="AB718" s="69" t="s">
        <v>3892</v>
      </c>
      <c r="AC718" s="5" t="s">
        <v>4178</v>
      </c>
      <c r="AD718" s="2"/>
      <c r="AE718" s="9">
        <v>46348</v>
      </c>
      <c r="AF718" s="23">
        <v>100</v>
      </c>
      <c r="AG718" s="6"/>
      <c r="AH718" s="5" t="s">
        <v>2</v>
      </c>
      <c r="AI718" s="5" t="s">
        <v>1778</v>
      </c>
      <c r="AJ718" s="5" t="s">
        <v>2</v>
      </c>
      <c r="AK718" s="21" t="s">
        <v>2</v>
      </c>
      <c r="AL718" s="72" t="s">
        <v>3894</v>
      </c>
      <c r="AM718" s="54" t="s">
        <v>4179</v>
      </c>
      <c r="AN718" s="34" t="s">
        <v>512</v>
      </c>
    </row>
    <row r="719" spans="2:40" x14ac:dyDescent="0.3">
      <c r="B719" s="18" t="s">
        <v>4034</v>
      </c>
      <c r="C719" s="47" t="s">
        <v>2625</v>
      </c>
      <c r="D719" s="15" t="s">
        <v>633</v>
      </c>
      <c r="E719" s="68" t="s">
        <v>2</v>
      </c>
      <c r="F719" s="55" t="s">
        <v>1164</v>
      </c>
      <c r="G719" s="40" t="s">
        <v>2</v>
      </c>
      <c r="H719" s="71" t="s">
        <v>3894</v>
      </c>
      <c r="I719" s="67" t="s">
        <v>8</v>
      </c>
      <c r="J719" s="73" t="s">
        <v>2</v>
      </c>
      <c r="K719" s="4">
        <v>16425750</v>
      </c>
      <c r="L719" s="41">
        <v>98.960999999999999</v>
      </c>
      <c r="M719" s="4">
        <v>14844150</v>
      </c>
      <c r="N719" s="4">
        <v>15000000</v>
      </c>
      <c r="O719" s="4">
        <v>15908854</v>
      </c>
      <c r="P719" s="4">
        <v>0</v>
      </c>
      <c r="Q719" s="4">
        <v>-292275</v>
      </c>
      <c r="R719" s="4">
        <v>0</v>
      </c>
      <c r="S719" s="4">
        <v>0</v>
      </c>
      <c r="T719" s="23">
        <v>4.83</v>
      </c>
      <c r="U719" s="23">
        <v>2.68</v>
      </c>
      <c r="V719" s="5" t="s">
        <v>3898</v>
      </c>
      <c r="W719" s="4">
        <v>36225</v>
      </c>
      <c r="X719" s="4">
        <v>724525</v>
      </c>
      <c r="Y719" s="14">
        <v>44251</v>
      </c>
      <c r="Z719" s="14">
        <v>46004</v>
      </c>
      <c r="AA719" s="2"/>
      <c r="AB719" s="69" t="s">
        <v>1671</v>
      </c>
      <c r="AC719" s="5" t="s">
        <v>2</v>
      </c>
      <c r="AD719" s="2"/>
      <c r="AE719" s="10"/>
      <c r="AF719" s="23"/>
      <c r="AG719" s="6"/>
      <c r="AH719" s="5" t="s">
        <v>989</v>
      </c>
      <c r="AI719" s="5" t="s">
        <v>633</v>
      </c>
      <c r="AJ719" s="5" t="s">
        <v>2</v>
      </c>
      <c r="AK719" s="21" t="s">
        <v>2</v>
      </c>
      <c r="AL719" s="72" t="s">
        <v>3894</v>
      </c>
      <c r="AM719" s="54" t="s">
        <v>4179</v>
      </c>
      <c r="AN719" s="34" t="s">
        <v>1439</v>
      </c>
    </row>
    <row r="720" spans="2:40" x14ac:dyDescent="0.3">
      <c r="B720" s="18" t="s">
        <v>990</v>
      </c>
      <c r="C720" s="47" t="s">
        <v>4373</v>
      </c>
      <c r="D720" s="15" t="s">
        <v>633</v>
      </c>
      <c r="E720" s="68" t="s">
        <v>2</v>
      </c>
      <c r="F720" s="55" t="s">
        <v>1164</v>
      </c>
      <c r="G720" s="40" t="s">
        <v>2</v>
      </c>
      <c r="H720" s="71" t="s">
        <v>3894</v>
      </c>
      <c r="I720" s="67" t="s">
        <v>8</v>
      </c>
      <c r="J720" s="73" t="s">
        <v>2</v>
      </c>
      <c r="K720" s="4">
        <v>3000000</v>
      </c>
      <c r="L720" s="41">
        <v>91.688000000000002</v>
      </c>
      <c r="M720" s="4">
        <v>2750640</v>
      </c>
      <c r="N720" s="4">
        <v>3000000</v>
      </c>
      <c r="O720" s="4">
        <v>3000000</v>
      </c>
      <c r="P720" s="4">
        <v>0</v>
      </c>
      <c r="Q720" s="4">
        <v>0</v>
      </c>
      <c r="R720" s="4">
        <v>0</v>
      </c>
      <c r="S720" s="4">
        <v>0</v>
      </c>
      <c r="T720" s="23">
        <v>3.34</v>
      </c>
      <c r="U720" s="23">
        <v>3.34</v>
      </c>
      <c r="V720" s="5" t="s">
        <v>268</v>
      </c>
      <c r="W720" s="4">
        <v>36462</v>
      </c>
      <c r="X720" s="4">
        <v>100175</v>
      </c>
      <c r="Y720" s="14">
        <v>44063</v>
      </c>
      <c r="Z720" s="14">
        <v>46619</v>
      </c>
      <c r="AA720" s="2"/>
      <c r="AB720" s="69" t="s">
        <v>1671</v>
      </c>
      <c r="AC720" s="5" t="s">
        <v>2</v>
      </c>
      <c r="AD720" s="2"/>
      <c r="AE720" s="10"/>
      <c r="AF720" s="23"/>
      <c r="AG720" s="6"/>
      <c r="AH720" s="5" t="s">
        <v>989</v>
      </c>
      <c r="AI720" s="5" t="s">
        <v>633</v>
      </c>
      <c r="AJ720" s="5" t="s">
        <v>2</v>
      </c>
      <c r="AK720" s="21" t="s">
        <v>2</v>
      </c>
      <c r="AL720" s="72" t="s">
        <v>3894</v>
      </c>
      <c r="AM720" s="54" t="s">
        <v>4179</v>
      </c>
      <c r="AN720" s="34" t="s">
        <v>1439</v>
      </c>
    </row>
    <row r="721" spans="2:40" x14ac:dyDescent="0.3">
      <c r="B721" s="18" t="s">
        <v>2102</v>
      </c>
      <c r="C721" s="47" t="s">
        <v>1503</v>
      </c>
      <c r="D721" s="15" t="s">
        <v>3755</v>
      </c>
      <c r="E721" s="68" t="s">
        <v>2</v>
      </c>
      <c r="F721" s="55" t="s">
        <v>2274</v>
      </c>
      <c r="G721" s="40" t="s">
        <v>2</v>
      </c>
      <c r="H721" s="71" t="s">
        <v>2745</v>
      </c>
      <c r="I721" s="67" t="s">
        <v>287</v>
      </c>
      <c r="J721" s="73" t="s">
        <v>270</v>
      </c>
      <c r="K721" s="4">
        <v>467016</v>
      </c>
      <c r="L721" s="41">
        <v>109.417</v>
      </c>
      <c r="M721" s="4">
        <v>437668</v>
      </c>
      <c r="N721" s="4">
        <v>400000</v>
      </c>
      <c r="O721" s="4">
        <v>422798</v>
      </c>
      <c r="P721" s="4">
        <v>0</v>
      </c>
      <c r="Q721" s="4">
        <v>-4199</v>
      </c>
      <c r="R721" s="4">
        <v>0</v>
      </c>
      <c r="S721" s="4">
        <v>0</v>
      </c>
      <c r="T721" s="23">
        <v>7.5</v>
      </c>
      <c r="U721" s="23">
        <v>6.0570000000000004</v>
      </c>
      <c r="V721" s="5" t="s">
        <v>268</v>
      </c>
      <c r="W721" s="4">
        <v>12500</v>
      </c>
      <c r="X721" s="4">
        <v>30000</v>
      </c>
      <c r="Y721" s="14">
        <v>39149</v>
      </c>
      <c r="Z721" s="14">
        <v>46600</v>
      </c>
      <c r="AA721" s="2"/>
      <c r="AB721" s="69" t="s">
        <v>3892</v>
      </c>
      <c r="AC721" s="5" t="s">
        <v>4178</v>
      </c>
      <c r="AD721" s="2"/>
      <c r="AE721" s="6"/>
      <c r="AF721" s="23"/>
      <c r="AG721" s="6"/>
      <c r="AH721" s="5" t="s">
        <v>2</v>
      </c>
      <c r="AI721" s="5" t="s">
        <v>2896</v>
      </c>
      <c r="AJ721" s="5" t="s">
        <v>2897</v>
      </c>
      <c r="AK721" s="21" t="s">
        <v>2</v>
      </c>
      <c r="AL721" s="72" t="s">
        <v>3894</v>
      </c>
      <c r="AM721" s="54" t="s">
        <v>4179</v>
      </c>
      <c r="AN721" s="34" t="s">
        <v>819</v>
      </c>
    </row>
    <row r="722" spans="2:40" x14ac:dyDescent="0.3">
      <c r="B722" s="18" t="s">
        <v>3241</v>
      </c>
      <c r="C722" s="47" t="s">
        <v>3756</v>
      </c>
      <c r="D722" s="15" t="s">
        <v>2103</v>
      </c>
      <c r="E722" s="68" t="s">
        <v>2</v>
      </c>
      <c r="F722" s="55" t="s">
        <v>1164</v>
      </c>
      <c r="G722" s="40" t="s">
        <v>2</v>
      </c>
      <c r="H722" s="71" t="s">
        <v>2745</v>
      </c>
      <c r="I722" s="67" t="s">
        <v>1414</v>
      </c>
      <c r="J722" s="73" t="s">
        <v>2312</v>
      </c>
      <c r="K722" s="4">
        <v>12000000</v>
      </c>
      <c r="L722" s="41">
        <v>94.804000000000002</v>
      </c>
      <c r="M722" s="4">
        <v>11376480</v>
      </c>
      <c r="N722" s="4">
        <v>12000000</v>
      </c>
      <c r="O722" s="4">
        <v>12000000</v>
      </c>
      <c r="P722" s="4">
        <v>0</v>
      </c>
      <c r="Q722" s="4">
        <v>0</v>
      </c>
      <c r="R722" s="4">
        <v>0</v>
      </c>
      <c r="S722" s="4">
        <v>0</v>
      </c>
      <c r="T722" s="23">
        <v>4.25</v>
      </c>
      <c r="U722" s="23">
        <v>4.25</v>
      </c>
      <c r="V722" s="5" t="s">
        <v>3898</v>
      </c>
      <c r="W722" s="4">
        <v>22667</v>
      </c>
      <c r="X722" s="4">
        <v>255000</v>
      </c>
      <c r="Y722" s="14">
        <v>44727</v>
      </c>
      <c r="Z722" s="14">
        <v>47467</v>
      </c>
      <c r="AA722" s="2"/>
      <c r="AB722" s="69" t="s">
        <v>2783</v>
      </c>
      <c r="AC722" s="5" t="s">
        <v>2</v>
      </c>
      <c r="AD722" s="2"/>
      <c r="AE722" s="6"/>
      <c r="AF722" s="23"/>
      <c r="AG722" s="6"/>
      <c r="AH722" s="5" t="s">
        <v>1779</v>
      </c>
      <c r="AI722" s="5" t="s">
        <v>2103</v>
      </c>
      <c r="AJ722" s="5" t="s">
        <v>2</v>
      </c>
      <c r="AK722" s="21" t="s">
        <v>2</v>
      </c>
      <c r="AL722" s="72" t="s">
        <v>2745</v>
      </c>
      <c r="AM722" s="54" t="s">
        <v>4179</v>
      </c>
      <c r="AN722" s="34" t="s">
        <v>2412</v>
      </c>
    </row>
    <row r="723" spans="2:40" x14ac:dyDescent="0.3">
      <c r="B723" s="18" t="s">
        <v>4374</v>
      </c>
      <c r="C723" s="47" t="s">
        <v>4375</v>
      </c>
      <c r="D723" s="15" t="s">
        <v>3538</v>
      </c>
      <c r="E723" s="68" t="s">
        <v>2</v>
      </c>
      <c r="F723" s="55" t="s">
        <v>1164</v>
      </c>
      <c r="G723" s="40" t="s">
        <v>2</v>
      </c>
      <c r="H723" s="71" t="s">
        <v>3894</v>
      </c>
      <c r="I723" s="67" t="s">
        <v>8</v>
      </c>
      <c r="J723" s="73" t="s">
        <v>2</v>
      </c>
      <c r="K723" s="4">
        <v>2500000</v>
      </c>
      <c r="L723" s="41">
        <v>92.37</v>
      </c>
      <c r="M723" s="4">
        <v>2309250</v>
      </c>
      <c r="N723" s="4">
        <v>2500000</v>
      </c>
      <c r="O723" s="4">
        <v>2500000</v>
      </c>
      <c r="P723" s="4">
        <v>0</v>
      </c>
      <c r="Q723" s="4">
        <v>0</v>
      </c>
      <c r="R723" s="4">
        <v>0</v>
      </c>
      <c r="S723" s="4">
        <v>0</v>
      </c>
      <c r="T723" s="23">
        <v>4.03</v>
      </c>
      <c r="U723" s="23">
        <v>4.03</v>
      </c>
      <c r="V723" s="5" t="s">
        <v>3895</v>
      </c>
      <c r="W723" s="4">
        <v>17072</v>
      </c>
      <c r="X723" s="4">
        <v>100750</v>
      </c>
      <c r="Y723" s="14">
        <v>43768</v>
      </c>
      <c r="Z723" s="14">
        <v>47056</v>
      </c>
      <c r="AA723" s="2"/>
      <c r="AB723" s="69" t="s">
        <v>1671</v>
      </c>
      <c r="AC723" s="5" t="s">
        <v>2</v>
      </c>
      <c r="AD723" s="2"/>
      <c r="AE723" s="10"/>
      <c r="AF723" s="23"/>
      <c r="AG723" s="6"/>
      <c r="AH723" s="5" t="s">
        <v>4376</v>
      </c>
      <c r="AI723" s="5" t="s">
        <v>3538</v>
      </c>
      <c r="AJ723" s="5" t="s">
        <v>2</v>
      </c>
      <c r="AK723" s="21" t="s">
        <v>2</v>
      </c>
      <c r="AL723" s="72" t="s">
        <v>3894</v>
      </c>
      <c r="AM723" s="54" t="s">
        <v>4179</v>
      </c>
      <c r="AN723" s="34" t="s">
        <v>1439</v>
      </c>
    </row>
    <row r="724" spans="2:40" x14ac:dyDescent="0.3">
      <c r="B724" s="18" t="s">
        <v>991</v>
      </c>
      <c r="C724" s="47" t="s">
        <v>3757</v>
      </c>
      <c r="D724" s="15" t="s">
        <v>1287</v>
      </c>
      <c r="E724" s="68" t="s">
        <v>2</v>
      </c>
      <c r="F724" s="55" t="s">
        <v>2274</v>
      </c>
      <c r="G724" s="40" t="s">
        <v>2</v>
      </c>
      <c r="H724" s="71" t="s">
        <v>2745</v>
      </c>
      <c r="I724" s="67" t="s">
        <v>1414</v>
      </c>
      <c r="J724" s="73" t="s">
        <v>270</v>
      </c>
      <c r="K724" s="4">
        <v>2493600</v>
      </c>
      <c r="L724" s="41">
        <v>97.823999999999998</v>
      </c>
      <c r="M724" s="4">
        <v>2445600</v>
      </c>
      <c r="N724" s="4">
        <v>2500000</v>
      </c>
      <c r="O724" s="4">
        <v>2497150</v>
      </c>
      <c r="P724" s="4">
        <v>0</v>
      </c>
      <c r="Q724" s="4">
        <v>861</v>
      </c>
      <c r="R724" s="4">
        <v>0</v>
      </c>
      <c r="S724" s="4">
        <v>0</v>
      </c>
      <c r="T724" s="23">
        <v>4.625</v>
      </c>
      <c r="U724" s="23">
        <v>4.6660000000000004</v>
      </c>
      <c r="V724" s="5" t="s">
        <v>1916</v>
      </c>
      <c r="W724" s="4">
        <v>56207</v>
      </c>
      <c r="X724" s="4">
        <v>115625</v>
      </c>
      <c r="Y724" s="14">
        <v>43412</v>
      </c>
      <c r="Z724" s="14">
        <v>46028</v>
      </c>
      <c r="AA724" s="2"/>
      <c r="AB724" s="69" t="s">
        <v>3892</v>
      </c>
      <c r="AC724" s="5" t="s">
        <v>4178</v>
      </c>
      <c r="AD724" s="2"/>
      <c r="AE724" s="10"/>
      <c r="AF724" s="23"/>
      <c r="AG724" s="10"/>
      <c r="AH724" s="5" t="s">
        <v>2</v>
      </c>
      <c r="AI724" s="5" t="s">
        <v>634</v>
      </c>
      <c r="AJ724" s="5" t="s">
        <v>824</v>
      </c>
      <c r="AK724" s="21" t="s">
        <v>2</v>
      </c>
      <c r="AL724" s="72" t="s">
        <v>3894</v>
      </c>
      <c r="AM724" s="54" t="s">
        <v>4179</v>
      </c>
      <c r="AN724" s="34" t="s">
        <v>512</v>
      </c>
    </row>
    <row r="725" spans="2:40" x14ac:dyDescent="0.3">
      <c r="B725" s="18" t="s">
        <v>2104</v>
      </c>
      <c r="C725" s="47" t="s">
        <v>385</v>
      </c>
      <c r="D725" s="15" t="s">
        <v>635</v>
      </c>
      <c r="E725" s="68" t="s">
        <v>2</v>
      </c>
      <c r="F725" s="55" t="s">
        <v>2274</v>
      </c>
      <c r="G725" s="40" t="s">
        <v>2745</v>
      </c>
      <c r="H725" s="71" t="s">
        <v>2745</v>
      </c>
      <c r="I725" s="67" t="s">
        <v>1414</v>
      </c>
      <c r="J725" s="73" t="s">
        <v>270</v>
      </c>
      <c r="K725" s="4">
        <v>7177000</v>
      </c>
      <c r="L725" s="41">
        <v>97.394999999999996</v>
      </c>
      <c r="M725" s="4">
        <v>6817650</v>
      </c>
      <c r="N725" s="4">
        <v>7000000</v>
      </c>
      <c r="O725" s="4">
        <v>7032756</v>
      </c>
      <c r="P725" s="4">
        <v>0</v>
      </c>
      <c r="Q725" s="4">
        <v>-24912</v>
      </c>
      <c r="R725" s="4">
        <v>0</v>
      </c>
      <c r="S725" s="4">
        <v>0</v>
      </c>
      <c r="T725" s="23">
        <v>3.8</v>
      </c>
      <c r="U725" s="23">
        <v>3.42</v>
      </c>
      <c r="V725" s="5" t="s">
        <v>3895</v>
      </c>
      <c r="W725" s="4">
        <v>61328</v>
      </c>
      <c r="X725" s="4">
        <v>266000</v>
      </c>
      <c r="Y725" s="14">
        <v>42853</v>
      </c>
      <c r="Z725" s="14">
        <v>45390</v>
      </c>
      <c r="AA725" s="2"/>
      <c r="AB725" s="69" t="s">
        <v>3892</v>
      </c>
      <c r="AC725" s="5" t="s">
        <v>7</v>
      </c>
      <c r="AD725" s="2"/>
      <c r="AE725" s="10"/>
      <c r="AF725" s="23"/>
      <c r="AG725" s="10"/>
      <c r="AH725" s="5" t="s">
        <v>2</v>
      </c>
      <c r="AI725" s="5" t="s">
        <v>144</v>
      </c>
      <c r="AJ725" s="5" t="s">
        <v>2626</v>
      </c>
      <c r="AK725" s="21" t="s">
        <v>2</v>
      </c>
      <c r="AL725" s="72" t="s">
        <v>3894</v>
      </c>
      <c r="AM725" s="54" t="s">
        <v>4179</v>
      </c>
      <c r="AN725" s="34" t="s">
        <v>512</v>
      </c>
    </row>
    <row r="726" spans="2:40" x14ac:dyDescent="0.3">
      <c r="B726" s="18" t="s">
        <v>4035</v>
      </c>
      <c r="C726" s="47" t="s">
        <v>2898</v>
      </c>
      <c r="D726" s="15" t="s">
        <v>2413</v>
      </c>
      <c r="E726" s="68" t="s">
        <v>2</v>
      </c>
      <c r="F726" s="55" t="s">
        <v>2274</v>
      </c>
      <c r="G726" s="40" t="s">
        <v>2745</v>
      </c>
      <c r="H726" s="71" t="s">
        <v>2745</v>
      </c>
      <c r="I726" s="67" t="s">
        <v>1414</v>
      </c>
      <c r="J726" s="73" t="s">
        <v>270</v>
      </c>
      <c r="K726" s="4">
        <v>4885035</v>
      </c>
      <c r="L726" s="41">
        <v>94.813999999999993</v>
      </c>
      <c r="M726" s="4">
        <v>4740700</v>
      </c>
      <c r="N726" s="4">
        <v>5000000</v>
      </c>
      <c r="O726" s="4">
        <v>4955386</v>
      </c>
      <c r="P726" s="4">
        <v>0</v>
      </c>
      <c r="Q726" s="4">
        <v>19032</v>
      </c>
      <c r="R726" s="4">
        <v>0</v>
      </c>
      <c r="S726" s="4">
        <v>0</v>
      </c>
      <c r="T726" s="23">
        <v>3.25</v>
      </c>
      <c r="U726" s="23">
        <v>3.6749999999999998</v>
      </c>
      <c r="V726" s="5" t="s">
        <v>10</v>
      </c>
      <c r="W726" s="4">
        <v>49201</v>
      </c>
      <c r="X726" s="4">
        <v>162500</v>
      </c>
      <c r="Y726" s="14">
        <v>43553</v>
      </c>
      <c r="Z726" s="14">
        <v>45728</v>
      </c>
      <c r="AA726" s="2"/>
      <c r="AB726" s="69" t="s">
        <v>3892</v>
      </c>
      <c r="AC726" s="5" t="s">
        <v>7</v>
      </c>
      <c r="AD726" s="2"/>
      <c r="AE726" s="6"/>
      <c r="AF726" s="23"/>
      <c r="AG726" s="6"/>
      <c r="AH726" s="5" t="s">
        <v>2</v>
      </c>
      <c r="AI726" s="5" t="s">
        <v>144</v>
      </c>
      <c r="AJ726" s="5" t="s">
        <v>824</v>
      </c>
      <c r="AK726" s="21" t="s">
        <v>2</v>
      </c>
      <c r="AL726" s="72" t="s">
        <v>3894</v>
      </c>
      <c r="AM726" s="54" t="s">
        <v>4179</v>
      </c>
      <c r="AN726" s="34" t="s">
        <v>512</v>
      </c>
    </row>
    <row r="727" spans="2:40" x14ac:dyDescent="0.3">
      <c r="B727" s="18" t="s">
        <v>636</v>
      </c>
      <c r="C727" s="47" t="s">
        <v>2105</v>
      </c>
      <c r="D727" s="15" t="s">
        <v>2106</v>
      </c>
      <c r="E727" s="68" t="s">
        <v>2</v>
      </c>
      <c r="F727" s="55" t="s">
        <v>1164</v>
      </c>
      <c r="G727" s="40" t="s">
        <v>2</v>
      </c>
      <c r="H727" s="71" t="s">
        <v>3894</v>
      </c>
      <c r="I727" s="67" t="s">
        <v>3408</v>
      </c>
      <c r="J727" s="73" t="s">
        <v>874</v>
      </c>
      <c r="K727" s="4">
        <v>3000000</v>
      </c>
      <c r="L727" s="41">
        <v>97.247</v>
      </c>
      <c r="M727" s="4">
        <v>2917410</v>
      </c>
      <c r="N727" s="4">
        <v>3000000</v>
      </c>
      <c r="O727" s="4">
        <v>3000000</v>
      </c>
      <c r="P727" s="4">
        <v>0</v>
      </c>
      <c r="Q727" s="4">
        <v>0</v>
      </c>
      <c r="R727" s="4">
        <v>0</v>
      </c>
      <c r="S727" s="4">
        <v>0</v>
      </c>
      <c r="T727" s="23">
        <v>4.46</v>
      </c>
      <c r="U727" s="23">
        <v>4.46</v>
      </c>
      <c r="V727" s="5" t="s">
        <v>10</v>
      </c>
      <c r="W727" s="4">
        <v>44972</v>
      </c>
      <c r="X727" s="4">
        <v>0</v>
      </c>
      <c r="Y727" s="14">
        <v>44804</v>
      </c>
      <c r="Z727" s="14">
        <v>46631</v>
      </c>
      <c r="AA727" s="2"/>
      <c r="AB727" s="69" t="s">
        <v>1671</v>
      </c>
      <c r="AC727" s="5" t="s">
        <v>2</v>
      </c>
      <c r="AD727" s="2"/>
      <c r="AE727" s="6"/>
      <c r="AF727" s="23"/>
      <c r="AG727" s="6"/>
      <c r="AH727" s="5" t="s">
        <v>637</v>
      </c>
      <c r="AI727" s="5" t="s">
        <v>2106</v>
      </c>
      <c r="AJ727" s="5" t="s">
        <v>2</v>
      </c>
      <c r="AK727" s="21" t="s">
        <v>2</v>
      </c>
      <c r="AL727" s="72" t="s">
        <v>3894</v>
      </c>
      <c r="AM727" s="54" t="s">
        <v>4179</v>
      </c>
      <c r="AN727" s="34" t="s">
        <v>928</v>
      </c>
    </row>
    <row r="728" spans="2:40" x14ac:dyDescent="0.3">
      <c r="B728" s="18" t="s">
        <v>1780</v>
      </c>
      <c r="C728" s="47" t="s">
        <v>2107</v>
      </c>
      <c r="D728" s="15" t="s">
        <v>2106</v>
      </c>
      <c r="E728" s="68" t="s">
        <v>2</v>
      </c>
      <c r="F728" s="55" t="s">
        <v>1164</v>
      </c>
      <c r="G728" s="40" t="s">
        <v>2</v>
      </c>
      <c r="H728" s="71" t="s">
        <v>3894</v>
      </c>
      <c r="I728" s="67" t="s">
        <v>3408</v>
      </c>
      <c r="J728" s="73" t="s">
        <v>874</v>
      </c>
      <c r="K728" s="4">
        <v>5000000</v>
      </c>
      <c r="L728" s="41">
        <v>95.759</v>
      </c>
      <c r="M728" s="4">
        <v>4787950</v>
      </c>
      <c r="N728" s="4">
        <v>5000000</v>
      </c>
      <c r="O728" s="4">
        <v>5000000</v>
      </c>
      <c r="P728" s="4">
        <v>0</v>
      </c>
      <c r="Q728" s="4">
        <v>0</v>
      </c>
      <c r="R728" s="4">
        <v>0</v>
      </c>
      <c r="S728" s="4">
        <v>0</v>
      </c>
      <c r="T728" s="23">
        <v>4.5199999999999996</v>
      </c>
      <c r="U728" s="23">
        <v>4.5199999999999996</v>
      </c>
      <c r="V728" s="5" t="s">
        <v>10</v>
      </c>
      <c r="W728" s="4">
        <v>75961</v>
      </c>
      <c r="X728" s="4">
        <v>0</v>
      </c>
      <c r="Y728" s="14">
        <v>44804</v>
      </c>
      <c r="Z728" s="14">
        <v>47362</v>
      </c>
      <c r="AA728" s="2"/>
      <c r="AB728" s="69" t="s">
        <v>1671</v>
      </c>
      <c r="AC728" s="5" t="s">
        <v>2</v>
      </c>
      <c r="AD728" s="2"/>
      <c r="AE728" s="6"/>
      <c r="AF728" s="23"/>
      <c r="AG728" s="6"/>
      <c r="AH728" s="5" t="s">
        <v>637</v>
      </c>
      <c r="AI728" s="5" t="s">
        <v>2106</v>
      </c>
      <c r="AJ728" s="5" t="s">
        <v>2</v>
      </c>
      <c r="AK728" s="21" t="s">
        <v>2</v>
      </c>
      <c r="AL728" s="72" t="s">
        <v>3894</v>
      </c>
      <c r="AM728" s="54" t="s">
        <v>4179</v>
      </c>
      <c r="AN728" s="34" t="s">
        <v>928</v>
      </c>
    </row>
    <row r="729" spans="2:40" x14ac:dyDescent="0.3">
      <c r="B729" s="18" t="s">
        <v>3242</v>
      </c>
      <c r="C729" s="47" t="s">
        <v>2108</v>
      </c>
      <c r="D729" s="15" t="s">
        <v>638</v>
      </c>
      <c r="E729" s="68" t="s">
        <v>2</v>
      </c>
      <c r="F729" s="55" t="s">
        <v>2274</v>
      </c>
      <c r="G729" s="40" t="s">
        <v>3894</v>
      </c>
      <c r="H729" s="71" t="s">
        <v>2745</v>
      </c>
      <c r="I729" s="67" t="s">
        <v>1414</v>
      </c>
      <c r="J729" s="73" t="s">
        <v>270</v>
      </c>
      <c r="K729" s="4">
        <v>5021050</v>
      </c>
      <c r="L729" s="41">
        <v>92.953999999999994</v>
      </c>
      <c r="M729" s="4">
        <v>4647700</v>
      </c>
      <c r="N729" s="4">
        <v>5000000</v>
      </c>
      <c r="O729" s="4">
        <v>5009115</v>
      </c>
      <c r="P729" s="4">
        <v>0</v>
      </c>
      <c r="Q729" s="4">
        <v>-4198</v>
      </c>
      <c r="R729" s="4">
        <v>0</v>
      </c>
      <c r="S729" s="4">
        <v>0</v>
      </c>
      <c r="T729" s="23">
        <v>2.4380000000000002</v>
      </c>
      <c r="U729" s="23">
        <v>2.3479999999999999</v>
      </c>
      <c r="V729" s="5" t="s">
        <v>268</v>
      </c>
      <c r="W729" s="4">
        <v>49437</v>
      </c>
      <c r="X729" s="4">
        <v>121900</v>
      </c>
      <c r="Y729" s="14">
        <v>43860</v>
      </c>
      <c r="Z729" s="14">
        <v>46058</v>
      </c>
      <c r="AA729" s="2"/>
      <c r="AB729" s="69" t="s">
        <v>3892</v>
      </c>
      <c r="AC729" s="5" t="s">
        <v>4178</v>
      </c>
      <c r="AD729" s="2"/>
      <c r="AE729" s="9">
        <v>45693</v>
      </c>
      <c r="AF729" s="23">
        <v>100</v>
      </c>
      <c r="AG729" s="9">
        <v>45693</v>
      </c>
      <c r="AH729" s="5" t="s">
        <v>2109</v>
      </c>
      <c r="AI729" s="5" t="s">
        <v>638</v>
      </c>
      <c r="AJ729" s="5" t="s">
        <v>2</v>
      </c>
      <c r="AK729" s="21" t="s">
        <v>2</v>
      </c>
      <c r="AL729" s="72" t="s">
        <v>3894</v>
      </c>
      <c r="AM729" s="54" t="s">
        <v>4179</v>
      </c>
      <c r="AN729" s="34" t="s">
        <v>512</v>
      </c>
    </row>
    <row r="730" spans="2:40" x14ac:dyDescent="0.3">
      <c r="B730" s="18" t="s">
        <v>4377</v>
      </c>
      <c r="C730" s="47" t="s">
        <v>3539</v>
      </c>
      <c r="D730" s="15" t="s">
        <v>638</v>
      </c>
      <c r="E730" s="68" t="s">
        <v>2</v>
      </c>
      <c r="F730" s="55" t="s">
        <v>2274</v>
      </c>
      <c r="G730" s="40" t="s">
        <v>2</v>
      </c>
      <c r="H730" s="71" t="s">
        <v>2745</v>
      </c>
      <c r="I730" s="67" t="s">
        <v>1414</v>
      </c>
      <c r="J730" s="73" t="s">
        <v>270</v>
      </c>
      <c r="K730" s="4">
        <v>2995560</v>
      </c>
      <c r="L730" s="41">
        <v>98.183999999999997</v>
      </c>
      <c r="M730" s="4">
        <v>2945520</v>
      </c>
      <c r="N730" s="4">
        <v>3000000</v>
      </c>
      <c r="O730" s="4">
        <v>2998858</v>
      </c>
      <c r="P730" s="4">
        <v>0</v>
      </c>
      <c r="Q730" s="4">
        <v>915</v>
      </c>
      <c r="R730" s="4">
        <v>0</v>
      </c>
      <c r="S730" s="4">
        <v>0</v>
      </c>
      <c r="T730" s="23">
        <v>3.9</v>
      </c>
      <c r="U730" s="23">
        <v>3.9329999999999998</v>
      </c>
      <c r="V730" s="5" t="s">
        <v>10</v>
      </c>
      <c r="W730" s="4">
        <v>35425</v>
      </c>
      <c r="X730" s="4">
        <v>117000</v>
      </c>
      <c r="Y730" s="14">
        <v>43529</v>
      </c>
      <c r="Z730" s="14">
        <v>45363</v>
      </c>
      <c r="AA730" s="2"/>
      <c r="AB730" s="69" t="s">
        <v>3892</v>
      </c>
      <c r="AC730" s="5" t="s">
        <v>4178</v>
      </c>
      <c r="AD730" s="2"/>
      <c r="AE730" s="6"/>
      <c r="AF730" s="23"/>
      <c r="AG730" s="6"/>
      <c r="AH730" s="5" t="s">
        <v>2109</v>
      </c>
      <c r="AI730" s="5" t="s">
        <v>638</v>
      </c>
      <c r="AJ730" s="5" t="s">
        <v>2</v>
      </c>
      <c r="AK730" s="21" t="s">
        <v>2</v>
      </c>
      <c r="AL730" s="72" t="s">
        <v>3894</v>
      </c>
      <c r="AM730" s="54" t="s">
        <v>4179</v>
      </c>
      <c r="AN730" s="34" t="s">
        <v>512</v>
      </c>
    </row>
    <row r="731" spans="2:40" x14ac:dyDescent="0.3">
      <c r="B731" s="18" t="s">
        <v>992</v>
      </c>
      <c r="C731" s="47" t="s">
        <v>639</v>
      </c>
      <c r="D731" s="15" t="s">
        <v>4036</v>
      </c>
      <c r="E731" s="68" t="s">
        <v>2</v>
      </c>
      <c r="F731" s="55" t="s">
        <v>1164</v>
      </c>
      <c r="G731" s="40" t="s">
        <v>3894</v>
      </c>
      <c r="H731" s="71" t="s">
        <v>2745</v>
      </c>
      <c r="I731" s="67" t="s">
        <v>1414</v>
      </c>
      <c r="J731" s="73" t="s">
        <v>270</v>
      </c>
      <c r="K731" s="4">
        <v>5000000</v>
      </c>
      <c r="L731" s="41">
        <v>86.948999999999998</v>
      </c>
      <c r="M731" s="4">
        <v>4347450</v>
      </c>
      <c r="N731" s="4">
        <v>5000000</v>
      </c>
      <c r="O731" s="4">
        <v>5000000</v>
      </c>
      <c r="P731" s="4">
        <v>0</v>
      </c>
      <c r="Q731" s="4">
        <v>0</v>
      </c>
      <c r="R731" s="4">
        <v>0</v>
      </c>
      <c r="S731" s="4">
        <v>0</v>
      </c>
      <c r="T731" s="23">
        <v>1.538</v>
      </c>
      <c r="U731" s="23">
        <v>1.4239999999999999</v>
      </c>
      <c r="V731" s="5" t="s">
        <v>1916</v>
      </c>
      <c r="W731" s="4">
        <v>34391</v>
      </c>
      <c r="X731" s="4">
        <v>76900</v>
      </c>
      <c r="Y731" s="14">
        <v>44389</v>
      </c>
      <c r="Z731" s="14">
        <v>46588</v>
      </c>
      <c r="AA731" s="2"/>
      <c r="AB731" s="69" t="s">
        <v>3892</v>
      </c>
      <c r="AC731" s="5" t="s">
        <v>4178</v>
      </c>
      <c r="AD731" s="2"/>
      <c r="AE731" s="9">
        <v>46223</v>
      </c>
      <c r="AF731" s="23">
        <v>100</v>
      </c>
      <c r="AG731" s="6"/>
      <c r="AH731" s="5" t="s">
        <v>2</v>
      </c>
      <c r="AI731" s="5" t="s">
        <v>2110</v>
      </c>
      <c r="AJ731" s="5" t="s">
        <v>2110</v>
      </c>
      <c r="AK731" s="21" t="s">
        <v>2</v>
      </c>
      <c r="AL731" s="72" t="s">
        <v>3894</v>
      </c>
      <c r="AM731" s="54" t="s">
        <v>4179</v>
      </c>
      <c r="AN731" s="34" t="s">
        <v>512</v>
      </c>
    </row>
    <row r="732" spans="2:40" x14ac:dyDescent="0.3">
      <c r="B732" s="18" t="s">
        <v>2111</v>
      </c>
      <c r="C732" s="47" t="s">
        <v>3540</v>
      </c>
      <c r="D732" s="15" t="s">
        <v>4036</v>
      </c>
      <c r="E732" s="68" t="s">
        <v>2</v>
      </c>
      <c r="F732" s="55" t="s">
        <v>1164</v>
      </c>
      <c r="G732" s="40" t="s">
        <v>3894</v>
      </c>
      <c r="H732" s="71" t="s">
        <v>2745</v>
      </c>
      <c r="I732" s="67" t="s">
        <v>1414</v>
      </c>
      <c r="J732" s="73" t="s">
        <v>270</v>
      </c>
      <c r="K732" s="4">
        <v>11993050</v>
      </c>
      <c r="L732" s="41">
        <v>95.876000000000005</v>
      </c>
      <c r="M732" s="4">
        <v>11505120</v>
      </c>
      <c r="N732" s="4">
        <v>12000000</v>
      </c>
      <c r="O732" s="4">
        <v>11993520</v>
      </c>
      <c r="P732" s="4">
        <v>0</v>
      </c>
      <c r="Q732" s="4">
        <v>470</v>
      </c>
      <c r="R732" s="4">
        <v>0</v>
      </c>
      <c r="S732" s="4">
        <v>0</v>
      </c>
      <c r="T732" s="23">
        <v>5.133</v>
      </c>
      <c r="U732" s="23">
        <v>5.1440000000000001</v>
      </c>
      <c r="V732" s="5" t="s">
        <v>1916</v>
      </c>
      <c r="W732" s="4">
        <v>275471</v>
      </c>
      <c r="X732" s="4">
        <v>0</v>
      </c>
      <c r="Y732" s="14">
        <v>44755</v>
      </c>
      <c r="Z732" s="14">
        <v>48780</v>
      </c>
      <c r="AA732" s="2"/>
      <c r="AB732" s="69" t="s">
        <v>3892</v>
      </c>
      <c r="AC732" s="5" t="s">
        <v>4178</v>
      </c>
      <c r="AD732" s="2"/>
      <c r="AE732" s="9">
        <v>48415</v>
      </c>
      <c r="AF732" s="23">
        <v>100</v>
      </c>
      <c r="AG732" s="6"/>
      <c r="AH732" s="5" t="s">
        <v>2</v>
      </c>
      <c r="AI732" s="5" t="s">
        <v>2110</v>
      </c>
      <c r="AJ732" s="5" t="s">
        <v>2110</v>
      </c>
      <c r="AK732" s="21" t="s">
        <v>2</v>
      </c>
      <c r="AL732" s="72" t="s">
        <v>3894</v>
      </c>
      <c r="AM732" s="54" t="s">
        <v>4179</v>
      </c>
      <c r="AN732" s="34" t="s">
        <v>512</v>
      </c>
    </row>
    <row r="733" spans="2:40" x14ac:dyDescent="0.3">
      <c r="B733" s="18" t="s">
        <v>3243</v>
      </c>
      <c r="C733" s="47" t="s">
        <v>145</v>
      </c>
      <c r="D733" s="15" t="s">
        <v>4036</v>
      </c>
      <c r="E733" s="68" t="s">
        <v>2</v>
      </c>
      <c r="F733" s="55" t="s">
        <v>1164</v>
      </c>
      <c r="G733" s="40" t="s">
        <v>3894</v>
      </c>
      <c r="H733" s="71" t="s">
        <v>2745</v>
      </c>
      <c r="I733" s="67" t="s">
        <v>1414</v>
      </c>
      <c r="J733" s="73" t="s">
        <v>270</v>
      </c>
      <c r="K733" s="4">
        <v>5000000</v>
      </c>
      <c r="L733" s="41">
        <v>98.284999999999997</v>
      </c>
      <c r="M733" s="4">
        <v>4914250</v>
      </c>
      <c r="N733" s="4">
        <v>5000000</v>
      </c>
      <c r="O733" s="4">
        <v>5000000</v>
      </c>
      <c r="P733" s="4">
        <v>0</v>
      </c>
      <c r="Q733" s="4">
        <v>0</v>
      </c>
      <c r="R733" s="4">
        <v>0</v>
      </c>
      <c r="S733" s="4">
        <v>0</v>
      </c>
      <c r="T733" s="23">
        <v>5.4720000000000004</v>
      </c>
      <c r="U733" s="23">
        <v>5.4720000000000004</v>
      </c>
      <c r="V733" s="5" t="s">
        <v>10</v>
      </c>
      <c r="W733" s="4">
        <v>82080</v>
      </c>
      <c r="X733" s="4">
        <v>0</v>
      </c>
      <c r="Y733" s="14">
        <v>44810</v>
      </c>
      <c r="Z733" s="14">
        <v>48835</v>
      </c>
      <c r="AA733" s="2"/>
      <c r="AB733" s="69" t="s">
        <v>3892</v>
      </c>
      <c r="AC733" s="5" t="s">
        <v>4178</v>
      </c>
      <c r="AD733" s="2"/>
      <c r="AE733" s="9">
        <v>48470</v>
      </c>
      <c r="AF733" s="23">
        <v>100</v>
      </c>
      <c r="AG733" s="6"/>
      <c r="AH733" s="5" t="s">
        <v>2</v>
      </c>
      <c r="AI733" s="5" t="s">
        <v>2110</v>
      </c>
      <c r="AJ733" s="5" t="s">
        <v>2110</v>
      </c>
      <c r="AK733" s="21" t="s">
        <v>2</v>
      </c>
      <c r="AL733" s="72" t="s">
        <v>3894</v>
      </c>
      <c r="AM733" s="54" t="s">
        <v>4179</v>
      </c>
      <c r="AN733" s="34" t="s">
        <v>512</v>
      </c>
    </row>
    <row r="734" spans="2:40" x14ac:dyDescent="0.3">
      <c r="B734" s="18" t="s">
        <v>4378</v>
      </c>
      <c r="C734" s="47" t="s">
        <v>1781</v>
      </c>
      <c r="D734" s="15" t="s">
        <v>2627</v>
      </c>
      <c r="E734" s="68" t="s">
        <v>2</v>
      </c>
      <c r="F734" s="55" t="s">
        <v>1164</v>
      </c>
      <c r="G734" s="40" t="s">
        <v>3894</v>
      </c>
      <c r="H734" s="71" t="s">
        <v>2745</v>
      </c>
      <c r="I734" s="67" t="s">
        <v>1414</v>
      </c>
      <c r="J734" s="73" t="s">
        <v>270</v>
      </c>
      <c r="K734" s="4">
        <v>15000000</v>
      </c>
      <c r="L734" s="41">
        <v>86.567999999999998</v>
      </c>
      <c r="M734" s="4">
        <v>12985200</v>
      </c>
      <c r="N734" s="4">
        <v>15000000</v>
      </c>
      <c r="O734" s="4">
        <v>15000000</v>
      </c>
      <c r="P734" s="4">
        <v>0</v>
      </c>
      <c r="Q734" s="4">
        <v>0</v>
      </c>
      <c r="R734" s="4">
        <v>0</v>
      </c>
      <c r="S734" s="4">
        <v>0</v>
      </c>
      <c r="T734" s="23">
        <v>1.234</v>
      </c>
      <c r="U734" s="23">
        <v>1.161</v>
      </c>
      <c r="V734" s="5" t="s">
        <v>3409</v>
      </c>
      <c r="W734" s="4">
        <v>20053</v>
      </c>
      <c r="X734" s="4">
        <v>185100</v>
      </c>
      <c r="Y734" s="14">
        <v>44243</v>
      </c>
      <c r="Z734" s="14">
        <v>46529</v>
      </c>
      <c r="AA734" s="2"/>
      <c r="AB734" s="69" t="s">
        <v>3892</v>
      </c>
      <c r="AC734" s="5" t="s">
        <v>4178</v>
      </c>
      <c r="AD734" s="2"/>
      <c r="AE734" s="9">
        <v>46164</v>
      </c>
      <c r="AF734" s="23">
        <v>100</v>
      </c>
      <c r="AG734" s="6"/>
      <c r="AH734" s="5" t="s">
        <v>2</v>
      </c>
      <c r="AI734" s="5" t="s">
        <v>2627</v>
      </c>
      <c r="AJ734" s="5" t="s">
        <v>2</v>
      </c>
      <c r="AK734" s="21" t="s">
        <v>2</v>
      </c>
      <c r="AL734" s="72" t="s">
        <v>3894</v>
      </c>
      <c r="AM734" s="54" t="s">
        <v>4179</v>
      </c>
      <c r="AN734" s="34" t="s">
        <v>512</v>
      </c>
    </row>
    <row r="735" spans="2:40" x14ac:dyDescent="0.3">
      <c r="B735" s="18" t="s">
        <v>993</v>
      </c>
      <c r="C735" s="47" t="s">
        <v>1504</v>
      </c>
      <c r="D735" s="15" t="s">
        <v>2627</v>
      </c>
      <c r="E735" s="68" t="s">
        <v>2</v>
      </c>
      <c r="F735" s="55" t="s">
        <v>1164</v>
      </c>
      <c r="G735" s="40" t="s">
        <v>3894</v>
      </c>
      <c r="H735" s="71" t="s">
        <v>2745</v>
      </c>
      <c r="I735" s="67" t="s">
        <v>1414</v>
      </c>
      <c r="J735" s="73" t="s">
        <v>270</v>
      </c>
      <c r="K735" s="4">
        <v>5000000</v>
      </c>
      <c r="L735" s="41">
        <v>99.52</v>
      </c>
      <c r="M735" s="4">
        <v>4976000</v>
      </c>
      <c r="N735" s="4">
        <v>5000000</v>
      </c>
      <c r="O735" s="4">
        <v>5000000</v>
      </c>
      <c r="P735" s="4">
        <v>0</v>
      </c>
      <c r="Q735" s="4">
        <v>0</v>
      </c>
      <c r="R735" s="4">
        <v>0</v>
      </c>
      <c r="S735" s="4">
        <v>0</v>
      </c>
      <c r="T735" s="23">
        <v>5.6689999999999996</v>
      </c>
      <c r="U735" s="23">
        <v>5.6689999999999996</v>
      </c>
      <c r="V735" s="5" t="s">
        <v>10</v>
      </c>
      <c r="W735" s="4">
        <v>85035</v>
      </c>
      <c r="X735" s="4">
        <v>0</v>
      </c>
      <c r="Y735" s="14">
        <v>44811</v>
      </c>
      <c r="Z735" s="14">
        <v>48835</v>
      </c>
      <c r="AA735" s="2"/>
      <c r="AB735" s="69" t="s">
        <v>3892</v>
      </c>
      <c r="AC735" s="5" t="s">
        <v>4178</v>
      </c>
      <c r="AD735" s="2"/>
      <c r="AE735" s="9">
        <v>48470</v>
      </c>
      <c r="AF735" s="23">
        <v>100</v>
      </c>
      <c r="AG735" s="6"/>
      <c r="AH735" s="5" t="s">
        <v>2</v>
      </c>
      <c r="AI735" s="5" t="s">
        <v>2627</v>
      </c>
      <c r="AJ735" s="5" t="s">
        <v>2</v>
      </c>
      <c r="AK735" s="21" t="s">
        <v>2</v>
      </c>
      <c r="AL735" s="72" t="s">
        <v>3894</v>
      </c>
      <c r="AM735" s="54" t="s">
        <v>4179</v>
      </c>
      <c r="AN735" s="34" t="s">
        <v>512</v>
      </c>
    </row>
    <row r="736" spans="2:40" x14ac:dyDescent="0.3">
      <c r="B736" s="18" t="s">
        <v>2899</v>
      </c>
      <c r="C736" s="47" t="s">
        <v>2628</v>
      </c>
      <c r="D736" s="15" t="s">
        <v>4379</v>
      </c>
      <c r="E736" s="68" t="s">
        <v>2</v>
      </c>
      <c r="F736" s="55" t="s">
        <v>1164</v>
      </c>
      <c r="G736" s="40" t="s">
        <v>2745</v>
      </c>
      <c r="H736" s="71" t="s">
        <v>3894</v>
      </c>
      <c r="I736" s="67" t="s">
        <v>8</v>
      </c>
      <c r="J736" s="73" t="s">
        <v>270</v>
      </c>
      <c r="K736" s="4">
        <v>5041114</v>
      </c>
      <c r="L736" s="41">
        <v>99.23</v>
      </c>
      <c r="M736" s="4">
        <v>4961500</v>
      </c>
      <c r="N736" s="4">
        <v>5000000</v>
      </c>
      <c r="O736" s="4">
        <v>5026690</v>
      </c>
      <c r="P736" s="4">
        <v>0</v>
      </c>
      <c r="Q736" s="4">
        <v>-14424</v>
      </c>
      <c r="R736" s="4">
        <v>0</v>
      </c>
      <c r="S736" s="4">
        <v>0</v>
      </c>
      <c r="T736" s="23">
        <v>4.875</v>
      </c>
      <c r="U736" s="23">
        <v>4.3650000000000002</v>
      </c>
      <c r="V736" s="5" t="s">
        <v>10</v>
      </c>
      <c r="W736" s="4">
        <v>81250</v>
      </c>
      <c r="X736" s="4">
        <v>121875</v>
      </c>
      <c r="Y736" s="14">
        <v>44700</v>
      </c>
      <c r="Z736" s="14">
        <v>45352</v>
      </c>
      <c r="AA736" s="2"/>
      <c r="AB736" s="69" t="s">
        <v>3892</v>
      </c>
      <c r="AC736" s="5" t="s">
        <v>4178</v>
      </c>
      <c r="AD736" s="2"/>
      <c r="AE736" s="9">
        <v>45323</v>
      </c>
      <c r="AF736" s="23">
        <v>100</v>
      </c>
      <c r="AG736" s="9">
        <v>45323</v>
      </c>
      <c r="AH736" s="5" t="s">
        <v>2</v>
      </c>
      <c r="AI736" s="5" t="s">
        <v>1782</v>
      </c>
      <c r="AJ736" s="5" t="s">
        <v>2112</v>
      </c>
      <c r="AK736" s="21" t="s">
        <v>2</v>
      </c>
      <c r="AL736" s="72" t="s">
        <v>3894</v>
      </c>
      <c r="AM736" s="54" t="s">
        <v>4179</v>
      </c>
      <c r="AN736" s="34" t="s">
        <v>1189</v>
      </c>
    </row>
    <row r="737" spans="2:40" x14ac:dyDescent="0.3">
      <c r="B737" s="18" t="s">
        <v>4380</v>
      </c>
      <c r="C737" s="47" t="s">
        <v>4381</v>
      </c>
      <c r="D737" s="15" t="s">
        <v>2900</v>
      </c>
      <c r="E737" s="68" t="s">
        <v>2</v>
      </c>
      <c r="F737" s="55" t="s">
        <v>1164</v>
      </c>
      <c r="G737" s="40" t="s">
        <v>2745</v>
      </c>
      <c r="H737" s="71" t="s">
        <v>3894</v>
      </c>
      <c r="I737" s="67" t="s">
        <v>8</v>
      </c>
      <c r="J737" s="73" t="s">
        <v>270</v>
      </c>
      <c r="K737" s="4">
        <v>3087860</v>
      </c>
      <c r="L737" s="41">
        <v>91.268000000000001</v>
      </c>
      <c r="M737" s="4">
        <v>2738040</v>
      </c>
      <c r="N737" s="4">
        <v>3000000</v>
      </c>
      <c r="O737" s="4">
        <v>3077127</v>
      </c>
      <c r="P737" s="4">
        <v>0</v>
      </c>
      <c r="Q737" s="4">
        <v>-10732</v>
      </c>
      <c r="R737" s="4">
        <v>0</v>
      </c>
      <c r="S737" s="4">
        <v>0</v>
      </c>
      <c r="T737" s="23">
        <v>3.15</v>
      </c>
      <c r="U737" s="23">
        <v>2.4969999999999999</v>
      </c>
      <c r="V737" s="5" t="s">
        <v>3409</v>
      </c>
      <c r="W737" s="4">
        <v>15750</v>
      </c>
      <c r="X737" s="4">
        <v>47250</v>
      </c>
      <c r="Y737" s="14">
        <v>44700</v>
      </c>
      <c r="Z737" s="14">
        <v>46508</v>
      </c>
      <c r="AA737" s="2"/>
      <c r="AB737" s="69" t="s">
        <v>3892</v>
      </c>
      <c r="AC737" s="5" t="s">
        <v>4178</v>
      </c>
      <c r="AD737" s="2"/>
      <c r="AE737" s="9">
        <v>46447</v>
      </c>
      <c r="AF737" s="23">
        <v>100</v>
      </c>
      <c r="AG737" s="9">
        <v>46447</v>
      </c>
      <c r="AH737" s="5" t="s">
        <v>2</v>
      </c>
      <c r="AI737" s="5" t="s">
        <v>2900</v>
      </c>
      <c r="AJ737" s="5" t="s">
        <v>2</v>
      </c>
      <c r="AK737" s="21" t="s">
        <v>2</v>
      </c>
      <c r="AL737" s="72" t="s">
        <v>3894</v>
      </c>
      <c r="AM737" s="54" t="s">
        <v>4179</v>
      </c>
      <c r="AN737" s="34" t="s">
        <v>1189</v>
      </c>
    </row>
    <row r="738" spans="2:40" x14ac:dyDescent="0.3">
      <c r="B738" s="18" t="s">
        <v>994</v>
      </c>
      <c r="C738" s="47" t="s">
        <v>3244</v>
      </c>
      <c r="D738" s="15" t="s">
        <v>2900</v>
      </c>
      <c r="E738" s="68" t="s">
        <v>2</v>
      </c>
      <c r="F738" s="55" t="s">
        <v>1164</v>
      </c>
      <c r="G738" s="40" t="s">
        <v>2745</v>
      </c>
      <c r="H738" s="71" t="s">
        <v>3894</v>
      </c>
      <c r="I738" s="67" t="s">
        <v>8</v>
      </c>
      <c r="J738" s="73" t="s">
        <v>270</v>
      </c>
      <c r="K738" s="4">
        <v>4499003</v>
      </c>
      <c r="L738" s="41">
        <v>95.311000000000007</v>
      </c>
      <c r="M738" s="4">
        <v>4288995</v>
      </c>
      <c r="N738" s="4">
        <v>4500000</v>
      </c>
      <c r="O738" s="4">
        <v>4499242</v>
      </c>
      <c r="P738" s="4">
        <v>0</v>
      </c>
      <c r="Q738" s="4">
        <v>238</v>
      </c>
      <c r="R738" s="4">
        <v>0</v>
      </c>
      <c r="S738" s="4">
        <v>0</v>
      </c>
      <c r="T738" s="23">
        <v>3.875</v>
      </c>
      <c r="U738" s="23">
        <v>3.88</v>
      </c>
      <c r="V738" s="5" t="s">
        <v>3898</v>
      </c>
      <c r="W738" s="4">
        <v>6297</v>
      </c>
      <c r="X738" s="4">
        <v>174375</v>
      </c>
      <c r="Y738" s="14">
        <v>44700</v>
      </c>
      <c r="Z738" s="14">
        <v>46191</v>
      </c>
      <c r="AA738" s="2"/>
      <c r="AB738" s="69" t="s">
        <v>3892</v>
      </c>
      <c r="AC738" s="5" t="s">
        <v>4178</v>
      </c>
      <c r="AD738" s="2"/>
      <c r="AE738" s="9">
        <v>46130</v>
      </c>
      <c r="AF738" s="23">
        <v>100</v>
      </c>
      <c r="AG738" s="6"/>
      <c r="AH738" s="5" t="s">
        <v>2</v>
      </c>
      <c r="AI738" s="5" t="s">
        <v>2900</v>
      </c>
      <c r="AJ738" s="5" t="s">
        <v>2</v>
      </c>
      <c r="AK738" s="21" t="s">
        <v>2</v>
      </c>
      <c r="AL738" s="72" t="s">
        <v>3894</v>
      </c>
      <c r="AM738" s="54" t="s">
        <v>4179</v>
      </c>
      <c r="AN738" s="34" t="s">
        <v>1189</v>
      </c>
    </row>
    <row r="739" spans="2:40" x14ac:dyDescent="0.3">
      <c r="B739" s="18" t="s">
        <v>2113</v>
      </c>
      <c r="C739" s="47" t="s">
        <v>2901</v>
      </c>
      <c r="D739" s="15" t="s">
        <v>2629</v>
      </c>
      <c r="E739" s="68" t="s">
        <v>2</v>
      </c>
      <c r="F739" s="55" t="s">
        <v>1164</v>
      </c>
      <c r="G739" s="40" t="s">
        <v>2745</v>
      </c>
      <c r="H739" s="71" t="s">
        <v>3894</v>
      </c>
      <c r="I739" s="67" t="s">
        <v>8</v>
      </c>
      <c r="J739" s="73" t="s">
        <v>270</v>
      </c>
      <c r="K739" s="4">
        <v>4892454</v>
      </c>
      <c r="L739" s="41">
        <v>96.105000000000004</v>
      </c>
      <c r="M739" s="4">
        <v>4709145</v>
      </c>
      <c r="N739" s="4">
        <v>4900000</v>
      </c>
      <c r="O739" s="4">
        <v>4893395</v>
      </c>
      <c r="P739" s="4">
        <v>0</v>
      </c>
      <c r="Q739" s="4">
        <v>941</v>
      </c>
      <c r="R739" s="4">
        <v>0</v>
      </c>
      <c r="S739" s="4">
        <v>0</v>
      </c>
      <c r="T739" s="23">
        <v>4.4000000000000004</v>
      </c>
      <c r="U739" s="23">
        <v>4.4340000000000002</v>
      </c>
      <c r="V739" s="5" t="s">
        <v>3898</v>
      </c>
      <c r="W739" s="4">
        <v>17967</v>
      </c>
      <c r="X739" s="4">
        <v>116783</v>
      </c>
      <c r="Y739" s="14">
        <v>44693</v>
      </c>
      <c r="Z739" s="14">
        <v>46539</v>
      </c>
      <c r="AA739" s="2"/>
      <c r="AB739" s="69" t="s">
        <v>3892</v>
      </c>
      <c r="AC739" s="5" t="s">
        <v>4178</v>
      </c>
      <c r="AD739" s="2"/>
      <c r="AE739" s="9">
        <v>46508</v>
      </c>
      <c r="AF739" s="23">
        <v>100</v>
      </c>
      <c r="AG739" s="6"/>
      <c r="AH739" s="5" t="s">
        <v>2</v>
      </c>
      <c r="AI739" s="5" t="s">
        <v>2900</v>
      </c>
      <c r="AJ739" s="5" t="s">
        <v>2630</v>
      </c>
      <c r="AK739" s="21" t="s">
        <v>2</v>
      </c>
      <c r="AL739" s="72" t="s">
        <v>3894</v>
      </c>
      <c r="AM739" s="54" t="s">
        <v>4179</v>
      </c>
      <c r="AN739" s="34" t="s">
        <v>1189</v>
      </c>
    </row>
    <row r="740" spans="2:40" x14ac:dyDescent="0.3">
      <c r="B740" s="18" t="s">
        <v>3245</v>
      </c>
      <c r="C740" s="47" t="s">
        <v>4037</v>
      </c>
      <c r="D740" s="15" t="s">
        <v>4382</v>
      </c>
      <c r="E740" s="68" t="s">
        <v>2</v>
      </c>
      <c r="F740" s="55" t="s">
        <v>1164</v>
      </c>
      <c r="G740" s="40" t="s">
        <v>2</v>
      </c>
      <c r="H740" s="71" t="s">
        <v>2745</v>
      </c>
      <c r="I740" s="67" t="s">
        <v>2274</v>
      </c>
      <c r="J740" s="73" t="s">
        <v>270</v>
      </c>
      <c r="K740" s="4">
        <v>972410</v>
      </c>
      <c r="L740" s="41">
        <v>95.668999999999997</v>
      </c>
      <c r="M740" s="4">
        <v>956690</v>
      </c>
      <c r="N740" s="4">
        <v>1000000</v>
      </c>
      <c r="O740" s="4">
        <v>987938</v>
      </c>
      <c r="P740" s="4">
        <v>0</v>
      </c>
      <c r="Q740" s="4">
        <v>3681</v>
      </c>
      <c r="R740" s="4">
        <v>0</v>
      </c>
      <c r="S740" s="4">
        <v>0</v>
      </c>
      <c r="T740" s="23">
        <v>3.375</v>
      </c>
      <c r="U740" s="23">
        <v>3.7989999999999999</v>
      </c>
      <c r="V740" s="5" t="s">
        <v>1916</v>
      </c>
      <c r="W740" s="4">
        <v>15656</v>
      </c>
      <c r="X740" s="4">
        <v>33750</v>
      </c>
      <c r="Y740" s="14">
        <v>43278</v>
      </c>
      <c r="Z740" s="14">
        <v>46036</v>
      </c>
      <c r="AA740" s="2"/>
      <c r="AB740" s="69" t="s">
        <v>3892</v>
      </c>
      <c r="AC740" s="5" t="s">
        <v>4178</v>
      </c>
      <c r="AD740" s="2"/>
      <c r="AE740" s="6"/>
      <c r="AF740" s="23"/>
      <c r="AG740" s="6"/>
      <c r="AH740" s="5" t="s">
        <v>2</v>
      </c>
      <c r="AI740" s="5" t="s">
        <v>146</v>
      </c>
      <c r="AJ740" s="5" t="s">
        <v>146</v>
      </c>
      <c r="AK740" s="21" t="s">
        <v>2</v>
      </c>
      <c r="AL740" s="72" t="s">
        <v>3894</v>
      </c>
      <c r="AM740" s="54" t="s">
        <v>4179</v>
      </c>
      <c r="AN740" s="34" t="s">
        <v>1408</v>
      </c>
    </row>
    <row r="741" spans="2:40" x14ac:dyDescent="0.3">
      <c r="B741" s="18" t="s">
        <v>4383</v>
      </c>
      <c r="C741" s="47" t="s">
        <v>1505</v>
      </c>
      <c r="D741" s="15" t="s">
        <v>4382</v>
      </c>
      <c r="E741" s="68" t="s">
        <v>2</v>
      </c>
      <c r="F741" s="55" t="s">
        <v>1164</v>
      </c>
      <c r="G741" s="40" t="s">
        <v>2</v>
      </c>
      <c r="H741" s="71" t="s">
        <v>2745</v>
      </c>
      <c r="I741" s="67" t="s">
        <v>2274</v>
      </c>
      <c r="J741" s="73" t="s">
        <v>270</v>
      </c>
      <c r="K741" s="4">
        <v>4858300</v>
      </c>
      <c r="L741" s="41">
        <v>95.962000000000003</v>
      </c>
      <c r="M741" s="4">
        <v>4798100</v>
      </c>
      <c r="N741" s="4">
        <v>5000000</v>
      </c>
      <c r="O741" s="4">
        <v>4872271</v>
      </c>
      <c r="P741" s="4">
        <v>0</v>
      </c>
      <c r="Q741" s="4">
        <v>13971</v>
      </c>
      <c r="R741" s="4">
        <v>0</v>
      </c>
      <c r="S741" s="4">
        <v>0</v>
      </c>
      <c r="T741" s="23">
        <v>3.9049999999999998</v>
      </c>
      <c r="U741" s="23">
        <v>4.5469999999999997</v>
      </c>
      <c r="V741" s="5" t="s">
        <v>3898</v>
      </c>
      <c r="W741" s="4">
        <v>11932</v>
      </c>
      <c r="X741" s="4">
        <v>97625</v>
      </c>
      <c r="Y741" s="14">
        <v>44726</v>
      </c>
      <c r="Z741" s="14">
        <v>46547</v>
      </c>
      <c r="AA741" s="2"/>
      <c r="AB741" s="69" t="s">
        <v>3892</v>
      </c>
      <c r="AC741" s="5" t="s">
        <v>4178</v>
      </c>
      <c r="AD741" s="2"/>
      <c r="AE741" s="6"/>
      <c r="AF741" s="23"/>
      <c r="AG741" s="6"/>
      <c r="AH741" s="5" t="s">
        <v>2</v>
      </c>
      <c r="AI741" s="5" t="s">
        <v>146</v>
      </c>
      <c r="AJ741" s="5" t="s">
        <v>386</v>
      </c>
      <c r="AK741" s="21" t="s">
        <v>2</v>
      </c>
      <c r="AL741" s="72" t="s">
        <v>3894</v>
      </c>
      <c r="AM741" s="54" t="s">
        <v>4179</v>
      </c>
      <c r="AN741" s="34" t="s">
        <v>1408</v>
      </c>
    </row>
    <row r="742" spans="2:40" x14ac:dyDescent="0.3">
      <c r="B742" s="18" t="s">
        <v>995</v>
      </c>
      <c r="C742" s="47" t="s">
        <v>4038</v>
      </c>
      <c r="D742" s="15" t="s">
        <v>147</v>
      </c>
      <c r="E742" s="68" t="s">
        <v>2</v>
      </c>
      <c r="F742" s="55" t="s">
        <v>1164</v>
      </c>
      <c r="G742" s="40" t="s">
        <v>2</v>
      </c>
      <c r="H742" s="71" t="s">
        <v>2745</v>
      </c>
      <c r="I742" s="67" t="s">
        <v>287</v>
      </c>
      <c r="J742" s="73" t="s">
        <v>270</v>
      </c>
      <c r="K742" s="4">
        <v>4996750</v>
      </c>
      <c r="L742" s="41">
        <v>100.617</v>
      </c>
      <c r="M742" s="4">
        <v>5030850</v>
      </c>
      <c r="N742" s="4">
        <v>5000000</v>
      </c>
      <c r="O742" s="4">
        <v>4996908</v>
      </c>
      <c r="P742" s="4">
        <v>0</v>
      </c>
      <c r="Q742" s="4">
        <v>158</v>
      </c>
      <c r="R742" s="4">
        <v>0</v>
      </c>
      <c r="S742" s="4">
        <v>0</v>
      </c>
      <c r="T742" s="23">
        <v>5.375</v>
      </c>
      <c r="U742" s="23">
        <v>5.39</v>
      </c>
      <c r="V742" s="5" t="s">
        <v>10</v>
      </c>
      <c r="W742" s="4">
        <v>73906</v>
      </c>
      <c r="X742" s="4">
        <v>0</v>
      </c>
      <c r="Y742" s="14">
        <v>44819</v>
      </c>
      <c r="Z742" s="14">
        <v>46652</v>
      </c>
      <c r="AA742" s="2"/>
      <c r="AB742" s="69" t="s">
        <v>3892</v>
      </c>
      <c r="AC742" s="5" t="s">
        <v>4178</v>
      </c>
      <c r="AD742" s="2"/>
      <c r="AE742" s="6"/>
      <c r="AF742" s="23"/>
      <c r="AG742" s="6"/>
      <c r="AH742" s="5" t="s">
        <v>387</v>
      </c>
      <c r="AI742" s="5" t="s">
        <v>3758</v>
      </c>
      <c r="AJ742" s="5" t="s">
        <v>824</v>
      </c>
      <c r="AK742" s="21" t="s">
        <v>2</v>
      </c>
      <c r="AL742" s="72" t="s">
        <v>825</v>
      </c>
      <c r="AM742" s="54" t="s">
        <v>4179</v>
      </c>
      <c r="AN742" s="34" t="s">
        <v>819</v>
      </c>
    </row>
    <row r="743" spans="2:40" x14ac:dyDescent="0.3">
      <c r="B743" s="18" t="s">
        <v>2114</v>
      </c>
      <c r="C743" s="47" t="s">
        <v>148</v>
      </c>
      <c r="D743" s="15" t="s">
        <v>640</v>
      </c>
      <c r="E743" s="68" t="s">
        <v>2</v>
      </c>
      <c r="F743" s="55" t="s">
        <v>1164</v>
      </c>
      <c r="G743" s="40" t="s">
        <v>2745</v>
      </c>
      <c r="H743" s="71" t="s">
        <v>3894</v>
      </c>
      <c r="I743" s="67" t="s">
        <v>1164</v>
      </c>
      <c r="J743" s="73" t="s">
        <v>270</v>
      </c>
      <c r="K743" s="4">
        <v>4799140</v>
      </c>
      <c r="L743" s="41">
        <v>76.733000000000004</v>
      </c>
      <c r="M743" s="4">
        <v>4603980</v>
      </c>
      <c r="N743" s="4">
        <v>6000000</v>
      </c>
      <c r="O743" s="4">
        <v>4837818</v>
      </c>
      <c r="P743" s="4">
        <v>0</v>
      </c>
      <c r="Q743" s="4">
        <v>38678</v>
      </c>
      <c r="R743" s="4">
        <v>0</v>
      </c>
      <c r="S743" s="4">
        <v>0</v>
      </c>
      <c r="T743" s="23">
        <v>2.75</v>
      </c>
      <c r="U743" s="23">
        <v>5.5439999999999996</v>
      </c>
      <c r="V743" s="5" t="s">
        <v>3409</v>
      </c>
      <c r="W743" s="4">
        <v>21083</v>
      </c>
      <c r="X743" s="4">
        <v>82500</v>
      </c>
      <c r="Y743" s="14">
        <v>44798</v>
      </c>
      <c r="Z743" s="14">
        <v>48167</v>
      </c>
      <c r="AA743" s="2"/>
      <c r="AB743" s="69" t="s">
        <v>3892</v>
      </c>
      <c r="AC743" s="5" t="s">
        <v>4178</v>
      </c>
      <c r="AD743" s="2"/>
      <c r="AE743" s="9">
        <v>48075</v>
      </c>
      <c r="AF743" s="23">
        <v>100</v>
      </c>
      <c r="AG743" s="6"/>
      <c r="AH743" s="5" t="s">
        <v>2631</v>
      </c>
      <c r="AI743" s="5" t="s">
        <v>640</v>
      </c>
      <c r="AJ743" s="5" t="s">
        <v>2</v>
      </c>
      <c r="AK743" s="21" t="s">
        <v>2</v>
      </c>
      <c r="AL743" s="72" t="s">
        <v>3894</v>
      </c>
      <c r="AM743" s="54" t="s">
        <v>4179</v>
      </c>
      <c r="AN743" s="34" t="s">
        <v>828</v>
      </c>
    </row>
    <row r="744" spans="2:40" x14ac:dyDescent="0.3">
      <c r="B744" s="18" t="s">
        <v>3246</v>
      </c>
      <c r="C744" s="47" t="s">
        <v>2115</v>
      </c>
      <c r="D744" s="15" t="s">
        <v>1506</v>
      </c>
      <c r="E744" s="68" t="s">
        <v>2</v>
      </c>
      <c r="F744" s="55" t="s">
        <v>1164</v>
      </c>
      <c r="G744" s="40" t="s">
        <v>3894</v>
      </c>
      <c r="H744" s="71" t="s">
        <v>2745</v>
      </c>
      <c r="I744" s="67" t="s">
        <v>1414</v>
      </c>
      <c r="J744" s="73" t="s">
        <v>270</v>
      </c>
      <c r="K744" s="4">
        <v>10000000</v>
      </c>
      <c r="L744" s="41">
        <v>86.915999999999997</v>
      </c>
      <c r="M744" s="4">
        <v>8691600</v>
      </c>
      <c r="N744" s="4">
        <v>10000000</v>
      </c>
      <c r="O744" s="4">
        <v>10000000</v>
      </c>
      <c r="P744" s="4">
        <v>0</v>
      </c>
      <c r="Q744" s="4">
        <v>0</v>
      </c>
      <c r="R744" s="4">
        <v>0</v>
      </c>
      <c r="S744" s="4">
        <v>0</v>
      </c>
      <c r="T744" s="23">
        <v>1.98</v>
      </c>
      <c r="U744" s="23">
        <v>1.827</v>
      </c>
      <c r="V744" s="5" t="s">
        <v>3898</v>
      </c>
      <c r="W744" s="4">
        <v>8800</v>
      </c>
      <c r="X744" s="4">
        <v>198000</v>
      </c>
      <c r="Y744" s="14">
        <v>44539</v>
      </c>
      <c r="Z744" s="14">
        <v>46736</v>
      </c>
      <c r="AA744" s="2"/>
      <c r="AB744" s="69" t="s">
        <v>3892</v>
      </c>
      <c r="AC744" s="5" t="s">
        <v>4178</v>
      </c>
      <c r="AD744" s="2"/>
      <c r="AE744" s="9">
        <v>46371</v>
      </c>
      <c r="AF744" s="23">
        <v>100</v>
      </c>
      <c r="AG744" s="6"/>
      <c r="AH744" s="5" t="s">
        <v>4039</v>
      </c>
      <c r="AI744" s="5" t="s">
        <v>4384</v>
      </c>
      <c r="AJ744" s="5" t="s">
        <v>824</v>
      </c>
      <c r="AK744" s="21" t="s">
        <v>2</v>
      </c>
      <c r="AL744" s="72" t="s">
        <v>825</v>
      </c>
      <c r="AM744" s="54" t="s">
        <v>4179</v>
      </c>
      <c r="AN744" s="34" t="s">
        <v>512</v>
      </c>
    </row>
    <row r="745" spans="2:40" x14ac:dyDescent="0.3">
      <c r="B745" s="18" t="s">
        <v>4385</v>
      </c>
      <c r="C745" s="47" t="s">
        <v>1288</v>
      </c>
      <c r="D745" s="15" t="s">
        <v>4040</v>
      </c>
      <c r="E745" s="68" t="s">
        <v>2</v>
      </c>
      <c r="F745" s="55" t="s">
        <v>1164</v>
      </c>
      <c r="G745" s="40" t="s">
        <v>2745</v>
      </c>
      <c r="H745" s="71" t="s">
        <v>2745</v>
      </c>
      <c r="I745" s="67" t="s">
        <v>1414</v>
      </c>
      <c r="J745" s="73" t="s">
        <v>270</v>
      </c>
      <c r="K745" s="4">
        <v>4914780</v>
      </c>
      <c r="L745" s="41">
        <v>96.572999999999993</v>
      </c>
      <c r="M745" s="4">
        <v>4828650</v>
      </c>
      <c r="N745" s="4">
        <v>5000000</v>
      </c>
      <c r="O745" s="4">
        <v>4977563</v>
      </c>
      <c r="P745" s="4">
        <v>0</v>
      </c>
      <c r="Q745" s="4">
        <v>14538</v>
      </c>
      <c r="R745" s="4">
        <v>0</v>
      </c>
      <c r="S745" s="4">
        <v>0</v>
      </c>
      <c r="T745" s="23">
        <v>2.75</v>
      </c>
      <c r="U745" s="23">
        <v>3.0609999999999999</v>
      </c>
      <c r="V745" s="5" t="s">
        <v>3898</v>
      </c>
      <c r="W745" s="4">
        <v>1910</v>
      </c>
      <c r="X745" s="4">
        <v>137500</v>
      </c>
      <c r="Y745" s="14">
        <v>43553</v>
      </c>
      <c r="Z745" s="14">
        <v>45469</v>
      </c>
      <c r="AA745" s="2"/>
      <c r="AB745" s="69" t="s">
        <v>3892</v>
      </c>
      <c r="AC745" s="5" t="s">
        <v>4178</v>
      </c>
      <c r="AD745" s="2"/>
      <c r="AE745" s="14">
        <v>45408</v>
      </c>
      <c r="AF745" s="23">
        <v>100</v>
      </c>
      <c r="AG745" s="10"/>
      <c r="AH745" s="5" t="s">
        <v>2</v>
      </c>
      <c r="AI745" s="5" t="s">
        <v>4041</v>
      </c>
      <c r="AJ745" s="5" t="s">
        <v>824</v>
      </c>
      <c r="AK745" s="21" t="s">
        <v>2</v>
      </c>
      <c r="AL745" s="72" t="s">
        <v>3894</v>
      </c>
      <c r="AM745" s="54" t="s">
        <v>4179</v>
      </c>
      <c r="AN745" s="34" t="s">
        <v>512</v>
      </c>
    </row>
    <row r="746" spans="2:40" x14ac:dyDescent="0.3">
      <c r="B746" s="18" t="s">
        <v>2116</v>
      </c>
      <c r="C746" s="47" t="s">
        <v>3247</v>
      </c>
      <c r="D746" s="15" t="s">
        <v>1783</v>
      </c>
      <c r="E746" s="68" t="s">
        <v>2</v>
      </c>
      <c r="F746" s="55" t="s">
        <v>2274</v>
      </c>
      <c r="G746" s="40" t="s">
        <v>3894</v>
      </c>
      <c r="H746" s="71" t="s">
        <v>2745</v>
      </c>
      <c r="I746" s="67" t="s">
        <v>1414</v>
      </c>
      <c r="J746" s="73" t="s">
        <v>270</v>
      </c>
      <c r="K746" s="4">
        <v>5000000</v>
      </c>
      <c r="L746" s="41">
        <v>97.703999999999994</v>
      </c>
      <c r="M746" s="4">
        <v>4885200</v>
      </c>
      <c r="N746" s="4">
        <v>5000000</v>
      </c>
      <c r="O746" s="4">
        <v>5000000</v>
      </c>
      <c r="P746" s="4">
        <v>0</v>
      </c>
      <c r="Q746" s="4">
        <v>0</v>
      </c>
      <c r="R746" s="4">
        <v>0</v>
      </c>
      <c r="S746" s="4">
        <v>0</v>
      </c>
      <c r="T746" s="23">
        <v>4.2690000000000001</v>
      </c>
      <c r="U746" s="23">
        <v>4.2690000000000001</v>
      </c>
      <c r="V746" s="5" t="s">
        <v>10</v>
      </c>
      <c r="W746" s="4">
        <v>58699</v>
      </c>
      <c r="X746" s="4">
        <v>213450</v>
      </c>
      <c r="Y746" s="14">
        <v>43543</v>
      </c>
      <c r="Z746" s="14">
        <v>45738</v>
      </c>
      <c r="AA746" s="2"/>
      <c r="AB746" s="69" t="s">
        <v>3892</v>
      </c>
      <c r="AC746" s="5" t="s">
        <v>4178</v>
      </c>
      <c r="AD746" s="2"/>
      <c r="AE746" s="9">
        <v>45373</v>
      </c>
      <c r="AF746" s="23">
        <v>100</v>
      </c>
      <c r="AG746" s="6"/>
      <c r="AH746" s="5" t="s">
        <v>3541</v>
      </c>
      <c r="AI746" s="5" t="s">
        <v>1783</v>
      </c>
      <c r="AJ746" s="5" t="s">
        <v>2</v>
      </c>
      <c r="AK746" s="21" t="s">
        <v>2</v>
      </c>
      <c r="AL746" s="72" t="s">
        <v>3894</v>
      </c>
      <c r="AM746" s="54" t="s">
        <v>4179</v>
      </c>
      <c r="AN746" s="34" t="s">
        <v>512</v>
      </c>
    </row>
    <row r="747" spans="2:40" x14ac:dyDescent="0.3">
      <c r="B747" s="18" t="s">
        <v>3248</v>
      </c>
      <c r="C747" s="47" t="s">
        <v>4386</v>
      </c>
      <c r="D747" s="15" t="s">
        <v>1783</v>
      </c>
      <c r="E747" s="68" t="s">
        <v>2</v>
      </c>
      <c r="F747" s="55" t="s">
        <v>1164</v>
      </c>
      <c r="G747" s="40" t="s">
        <v>3894</v>
      </c>
      <c r="H747" s="71" t="s">
        <v>2745</v>
      </c>
      <c r="I747" s="67" t="s">
        <v>1414</v>
      </c>
      <c r="J747" s="73" t="s">
        <v>270</v>
      </c>
      <c r="K747" s="4">
        <v>5413900</v>
      </c>
      <c r="L747" s="41">
        <v>89.576999999999998</v>
      </c>
      <c r="M747" s="4">
        <v>4478850</v>
      </c>
      <c r="N747" s="4">
        <v>5000000</v>
      </c>
      <c r="O747" s="4">
        <v>5292635</v>
      </c>
      <c r="P747" s="4">
        <v>0</v>
      </c>
      <c r="Q747" s="4">
        <v>-63785</v>
      </c>
      <c r="R747" s="4">
        <v>0</v>
      </c>
      <c r="S747" s="4">
        <v>0</v>
      </c>
      <c r="T747" s="23">
        <v>3.073</v>
      </c>
      <c r="U747" s="23">
        <v>1.6830000000000001</v>
      </c>
      <c r="V747" s="5" t="s">
        <v>3409</v>
      </c>
      <c r="W747" s="4">
        <v>16645</v>
      </c>
      <c r="X747" s="4">
        <v>153650</v>
      </c>
      <c r="Y747" s="9">
        <v>44224</v>
      </c>
      <c r="Z747" s="9">
        <v>46895</v>
      </c>
      <c r="AA747" s="2"/>
      <c r="AB747" s="69" t="s">
        <v>3892</v>
      </c>
      <c r="AC747" s="5" t="s">
        <v>4178</v>
      </c>
      <c r="AD747" s="2"/>
      <c r="AE747" s="9">
        <v>46529</v>
      </c>
      <c r="AF747" s="23">
        <v>100</v>
      </c>
      <c r="AG747" s="9">
        <v>46529</v>
      </c>
      <c r="AH747" s="5" t="s">
        <v>3541</v>
      </c>
      <c r="AI747" s="5" t="s">
        <v>1783</v>
      </c>
      <c r="AJ747" s="5" t="s">
        <v>2</v>
      </c>
      <c r="AK747" s="21" t="s">
        <v>2</v>
      </c>
      <c r="AL747" s="72" t="s">
        <v>3894</v>
      </c>
      <c r="AM747" s="54" t="s">
        <v>4179</v>
      </c>
      <c r="AN747" s="34" t="s">
        <v>512</v>
      </c>
    </row>
    <row r="748" spans="2:40" x14ac:dyDescent="0.3">
      <c r="B748" s="18" t="s">
        <v>4387</v>
      </c>
      <c r="C748" s="47" t="s">
        <v>4388</v>
      </c>
      <c r="D748" s="15" t="s">
        <v>641</v>
      </c>
      <c r="E748" s="68" t="s">
        <v>2</v>
      </c>
      <c r="F748" s="55" t="s">
        <v>1164</v>
      </c>
      <c r="G748" s="40" t="s">
        <v>2745</v>
      </c>
      <c r="H748" s="71" t="s">
        <v>3894</v>
      </c>
      <c r="I748" s="67" t="s">
        <v>1164</v>
      </c>
      <c r="J748" s="73" t="s">
        <v>270</v>
      </c>
      <c r="K748" s="4">
        <v>4924863</v>
      </c>
      <c r="L748" s="41">
        <v>85.078000000000003</v>
      </c>
      <c r="M748" s="4">
        <v>4253900</v>
      </c>
      <c r="N748" s="4">
        <v>5000000</v>
      </c>
      <c r="O748" s="4">
        <v>4941472</v>
      </c>
      <c r="P748" s="4">
        <v>0</v>
      </c>
      <c r="Q748" s="4">
        <v>11840</v>
      </c>
      <c r="R748" s="4">
        <v>0</v>
      </c>
      <c r="S748" s="4">
        <v>0</v>
      </c>
      <c r="T748" s="23">
        <v>1.75</v>
      </c>
      <c r="U748" s="23">
        <v>2.0139999999999998</v>
      </c>
      <c r="V748" s="5" t="s">
        <v>10</v>
      </c>
      <c r="W748" s="4">
        <v>28924</v>
      </c>
      <c r="X748" s="4">
        <v>87500</v>
      </c>
      <c r="Y748" s="9">
        <v>44413</v>
      </c>
      <c r="Z748" s="9">
        <v>46632</v>
      </c>
      <c r="AA748" s="2"/>
      <c r="AB748" s="69" t="s">
        <v>3892</v>
      </c>
      <c r="AC748" s="5" t="s">
        <v>4178</v>
      </c>
      <c r="AD748" s="2"/>
      <c r="AE748" s="9">
        <v>46570</v>
      </c>
      <c r="AF748" s="23">
        <v>100</v>
      </c>
      <c r="AG748" s="6"/>
      <c r="AH748" s="5" t="s">
        <v>2117</v>
      </c>
      <c r="AI748" s="5" t="s">
        <v>641</v>
      </c>
      <c r="AJ748" s="5" t="s">
        <v>2</v>
      </c>
      <c r="AK748" s="21" t="s">
        <v>2</v>
      </c>
      <c r="AL748" s="72" t="s">
        <v>3894</v>
      </c>
      <c r="AM748" s="54" t="s">
        <v>4179</v>
      </c>
      <c r="AN748" s="34" t="s">
        <v>828</v>
      </c>
    </row>
    <row r="749" spans="2:40" x14ac:dyDescent="0.3">
      <c r="B749" s="18" t="s">
        <v>996</v>
      </c>
      <c r="C749" s="47" t="s">
        <v>149</v>
      </c>
      <c r="D749" s="15" t="s">
        <v>3249</v>
      </c>
      <c r="E749" s="68" t="s">
        <v>2</v>
      </c>
      <c r="F749" s="55" t="s">
        <v>1164</v>
      </c>
      <c r="G749" s="40" t="s">
        <v>2</v>
      </c>
      <c r="H749" s="71" t="s">
        <v>2745</v>
      </c>
      <c r="I749" s="67" t="s">
        <v>1414</v>
      </c>
      <c r="J749" s="73" t="s">
        <v>270</v>
      </c>
      <c r="K749" s="4">
        <v>2993490</v>
      </c>
      <c r="L749" s="41">
        <v>99.605000000000004</v>
      </c>
      <c r="M749" s="4">
        <v>2988150</v>
      </c>
      <c r="N749" s="4">
        <v>3000000</v>
      </c>
      <c r="O749" s="4">
        <v>2999587</v>
      </c>
      <c r="P749" s="4">
        <v>0</v>
      </c>
      <c r="Q749" s="4">
        <v>1387</v>
      </c>
      <c r="R749" s="4">
        <v>0</v>
      </c>
      <c r="S749" s="4">
        <v>0</v>
      </c>
      <c r="T749" s="23">
        <v>3.75</v>
      </c>
      <c r="U749" s="23">
        <v>3.798</v>
      </c>
      <c r="V749" s="5" t="s">
        <v>3895</v>
      </c>
      <c r="W749" s="4">
        <v>23438</v>
      </c>
      <c r="X749" s="4">
        <v>112500</v>
      </c>
      <c r="Y749" s="9">
        <v>43199</v>
      </c>
      <c r="Z749" s="9">
        <v>45032</v>
      </c>
      <c r="AA749" s="2"/>
      <c r="AB749" s="69" t="s">
        <v>3892</v>
      </c>
      <c r="AC749" s="5" t="s">
        <v>7</v>
      </c>
      <c r="AD749" s="2"/>
      <c r="AE749" s="6"/>
      <c r="AF749" s="23"/>
      <c r="AG749" s="6"/>
      <c r="AH749" s="5" t="s">
        <v>2</v>
      </c>
      <c r="AI749" s="5" t="s">
        <v>150</v>
      </c>
      <c r="AJ749" s="5" t="s">
        <v>824</v>
      </c>
      <c r="AK749" s="21" t="s">
        <v>2</v>
      </c>
      <c r="AL749" s="72" t="s">
        <v>3894</v>
      </c>
      <c r="AM749" s="54" t="s">
        <v>4179</v>
      </c>
      <c r="AN749" s="34" t="s">
        <v>512</v>
      </c>
    </row>
    <row r="750" spans="2:40" x14ac:dyDescent="0.3">
      <c r="B750" s="18" t="s">
        <v>2118</v>
      </c>
      <c r="C750" s="47" t="s">
        <v>3542</v>
      </c>
      <c r="D750" s="15" t="s">
        <v>151</v>
      </c>
      <c r="E750" s="68" t="s">
        <v>2</v>
      </c>
      <c r="F750" s="55" t="s">
        <v>1164</v>
      </c>
      <c r="G750" s="40" t="s">
        <v>2745</v>
      </c>
      <c r="H750" s="71" t="s">
        <v>825</v>
      </c>
      <c r="I750" s="67" t="s">
        <v>3408</v>
      </c>
      <c r="J750" s="73" t="s">
        <v>270</v>
      </c>
      <c r="K750" s="4">
        <v>4000000</v>
      </c>
      <c r="L750" s="41">
        <v>86.504999999999995</v>
      </c>
      <c r="M750" s="4">
        <v>3460200</v>
      </c>
      <c r="N750" s="4">
        <v>4000000</v>
      </c>
      <c r="O750" s="4">
        <v>3460200</v>
      </c>
      <c r="P750" s="4">
        <v>-491600</v>
      </c>
      <c r="Q750" s="4">
        <v>0</v>
      </c>
      <c r="R750" s="4">
        <v>0</v>
      </c>
      <c r="S750" s="4">
        <v>0</v>
      </c>
      <c r="T750" s="23">
        <v>3.125</v>
      </c>
      <c r="U750" s="23">
        <v>3.125</v>
      </c>
      <c r="V750" s="5" t="s">
        <v>10</v>
      </c>
      <c r="W750" s="4">
        <v>36806</v>
      </c>
      <c r="X750" s="4">
        <v>123264</v>
      </c>
      <c r="Y750" s="9">
        <v>44448</v>
      </c>
      <c r="Z750" s="9">
        <v>46461</v>
      </c>
      <c r="AA750" s="2"/>
      <c r="AB750" s="69" t="s">
        <v>3892</v>
      </c>
      <c r="AC750" s="5" t="s">
        <v>4178</v>
      </c>
      <c r="AD750" s="2"/>
      <c r="AE750" s="9">
        <v>45366</v>
      </c>
      <c r="AF750" s="23">
        <v>101.563</v>
      </c>
      <c r="AG750" s="6"/>
      <c r="AH750" s="5" t="s">
        <v>2</v>
      </c>
      <c r="AI750" s="5" t="s">
        <v>3250</v>
      </c>
      <c r="AJ750" s="5" t="s">
        <v>824</v>
      </c>
      <c r="AK750" s="21" t="s">
        <v>2</v>
      </c>
      <c r="AL750" s="72" t="s">
        <v>3894</v>
      </c>
      <c r="AM750" s="54" t="s">
        <v>4179</v>
      </c>
      <c r="AN750" s="34" t="s">
        <v>863</v>
      </c>
    </row>
    <row r="751" spans="2:40" x14ac:dyDescent="0.3">
      <c r="B751" s="18" t="s">
        <v>3251</v>
      </c>
      <c r="C751" s="47" t="s">
        <v>3759</v>
      </c>
      <c r="D751" s="15" t="s">
        <v>3760</v>
      </c>
      <c r="E751" s="68" t="s">
        <v>2</v>
      </c>
      <c r="F751" s="55" t="s">
        <v>1164</v>
      </c>
      <c r="G751" s="40" t="s">
        <v>2745</v>
      </c>
      <c r="H751" s="71" t="s">
        <v>825</v>
      </c>
      <c r="I751" s="67" t="s">
        <v>3408</v>
      </c>
      <c r="J751" s="73" t="s">
        <v>270</v>
      </c>
      <c r="K751" s="4">
        <v>9215525</v>
      </c>
      <c r="L751" s="41">
        <v>76.355000000000004</v>
      </c>
      <c r="M751" s="4">
        <v>7177370</v>
      </c>
      <c r="N751" s="4">
        <v>9400000</v>
      </c>
      <c r="O751" s="4">
        <v>7177370</v>
      </c>
      <c r="P751" s="4">
        <v>-1948121</v>
      </c>
      <c r="Q751" s="4">
        <v>21522</v>
      </c>
      <c r="R751" s="4">
        <v>0</v>
      </c>
      <c r="S751" s="4">
        <v>0</v>
      </c>
      <c r="T751" s="23">
        <v>3.125</v>
      </c>
      <c r="U751" s="23">
        <v>3.419</v>
      </c>
      <c r="V751" s="5" t="s">
        <v>1916</v>
      </c>
      <c r="W751" s="4">
        <v>135451</v>
      </c>
      <c r="X751" s="4">
        <v>293750</v>
      </c>
      <c r="Y751" s="9">
        <v>44544</v>
      </c>
      <c r="Z751" s="9">
        <v>47314</v>
      </c>
      <c r="AA751" s="2"/>
      <c r="AB751" s="69" t="s">
        <v>3892</v>
      </c>
      <c r="AC751" s="5" t="s">
        <v>4178</v>
      </c>
      <c r="AD751" s="2"/>
      <c r="AE751" s="9">
        <v>45306</v>
      </c>
      <c r="AF751" s="23">
        <v>101.563</v>
      </c>
      <c r="AG751" s="6"/>
      <c r="AH751" s="5" t="s">
        <v>1289</v>
      </c>
      <c r="AI751" s="5" t="s">
        <v>3760</v>
      </c>
      <c r="AJ751" s="5" t="s">
        <v>2</v>
      </c>
      <c r="AK751" s="21" t="s">
        <v>2</v>
      </c>
      <c r="AL751" s="72" t="s">
        <v>3894</v>
      </c>
      <c r="AM751" s="54" t="s">
        <v>4179</v>
      </c>
      <c r="AN751" s="34" t="s">
        <v>863</v>
      </c>
    </row>
    <row r="752" spans="2:40" x14ac:dyDescent="0.3">
      <c r="B752" s="18" t="s">
        <v>4389</v>
      </c>
      <c r="C752" s="47" t="s">
        <v>2119</v>
      </c>
      <c r="D752" s="15" t="s">
        <v>3252</v>
      </c>
      <c r="E752" s="68" t="s">
        <v>2</v>
      </c>
      <c r="F752" s="55" t="s">
        <v>1164</v>
      </c>
      <c r="G752" s="40" t="s">
        <v>2745</v>
      </c>
      <c r="H752" s="71" t="s">
        <v>825</v>
      </c>
      <c r="I752" s="67" t="s">
        <v>1164</v>
      </c>
      <c r="J752" s="73" t="s">
        <v>270</v>
      </c>
      <c r="K752" s="4">
        <v>1005000</v>
      </c>
      <c r="L752" s="41">
        <v>86.248000000000005</v>
      </c>
      <c r="M752" s="4">
        <v>862480</v>
      </c>
      <c r="N752" s="4">
        <v>1000000</v>
      </c>
      <c r="O752" s="4">
        <v>862480</v>
      </c>
      <c r="P752" s="4">
        <v>-140988</v>
      </c>
      <c r="Q752" s="4">
        <v>-971</v>
      </c>
      <c r="R752" s="4">
        <v>0</v>
      </c>
      <c r="S752" s="4">
        <v>0</v>
      </c>
      <c r="T752" s="23">
        <v>4</v>
      </c>
      <c r="U752" s="23">
        <v>3.887</v>
      </c>
      <c r="V752" s="5" t="s">
        <v>3895</v>
      </c>
      <c r="W752" s="4">
        <v>8444</v>
      </c>
      <c r="X752" s="4">
        <v>40000</v>
      </c>
      <c r="Y752" s="14">
        <v>44321</v>
      </c>
      <c r="Z752" s="14">
        <v>47223</v>
      </c>
      <c r="AA752" s="2"/>
      <c r="AB752" s="69" t="s">
        <v>3892</v>
      </c>
      <c r="AC752" s="5" t="s">
        <v>4178</v>
      </c>
      <c r="AD752" s="2"/>
      <c r="AE752" s="9">
        <v>46127</v>
      </c>
      <c r="AF752" s="23">
        <v>100</v>
      </c>
      <c r="AG752" s="14">
        <v>46127</v>
      </c>
      <c r="AH752" s="5" t="s">
        <v>152</v>
      </c>
      <c r="AI752" s="5" t="s">
        <v>4390</v>
      </c>
      <c r="AJ752" s="5" t="s">
        <v>824</v>
      </c>
      <c r="AK752" s="21" t="s">
        <v>2</v>
      </c>
      <c r="AL752" s="72" t="s">
        <v>3894</v>
      </c>
      <c r="AM752" s="54" t="s">
        <v>4179</v>
      </c>
      <c r="AN752" s="34" t="s">
        <v>302</v>
      </c>
    </row>
    <row r="753" spans="2:40" x14ac:dyDescent="0.3">
      <c r="B753" s="18" t="s">
        <v>997</v>
      </c>
      <c r="C753" s="47" t="s">
        <v>2414</v>
      </c>
      <c r="D753" s="15" t="s">
        <v>2415</v>
      </c>
      <c r="E753" s="68" t="s">
        <v>2</v>
      </c>
      <c r="F753" s="55" t="s">
        <v>1164</v>
      </c>
      <c r="G753" s="40" t="s">
        <v>2745</v>
      </c>
      <c r="H753" s="71" t="s">
        <v>2745</v>
      </c>
      <c r="I753" s="67" t="s">
        <v>3660</v>
      </c>
      <c r="J753" s="73" t="s">
        <v>270</v>
      </c>
      <c r="K753" s="4">
        <v>4991450</v>
      </c>
      <c r="L753" s="41">
        <v>85.521000000000001</v>
      </c>
      <c r="M753" s="4">
        <v>4276050</v>
      </c>
      <c r="N753" s="4">
        <v>5000000</v>
      </c>
      <c r="O753" s="4">
        <v>4993559</v>
      </c>
      <c r="P753" s="4">
        <v>0</v>
      </c>
      <c r="Q753" s="4">
        <v>1176</v>
      </c>
      <c r="R753" s="4">
        <v>0</v>
      </c>
      <c r="S753" s="4">
        <v>0</v>
      </c>
      <c r="T753" s="23">
        <v>1.7</v>
      </c>
      <c r="U753" s="23">
        <v>1.726</v>
      </c>
      <c r="V753" s="5" t="s">
        <v>10</v>
      </c>
      <c r="W753" s="4">
        <v>25972</v>
      </c>
      <c r="X753" s="4">
        <v>85000</v>
      </c>
      <c r="Y753" s="14">
        <v>44257</v>
      </c>
      <c r="Z753" s="14">
        <v>46823</v>
      </c>
      <c r="AA753" s="2"/>
      <c r="AB753" s="69" t="s">
        <v>3892</v>
      </c>
      <c r="AC753" s="5" t="s">
        <v>4178</v>
      </c>
      <c r="AD753" s="2"/>
      <c r="AE753" s="10"/>
      <c r="AF753" s="23"/>
      <c r="AG753" s="10"/>
      <c r="AH753" s="5" t="s">
        <v>3543</v>
      </c>
      <c r="AI753" s="5" t="s">
        <v>4391</v>
      </c>
      <c r="AJ753" s="5" t="s">
        <v>824</v>
      </c>
      <c r="AK753" s="21" t="s">
        <v>2</v>
      </c>
      <c r="AL753" s="72" t="s">
        <v>3894</v>
      </c>
      <c r="AM753" s="54" t="s">
        <v>4179</v>
      </c>
      <c r="AN753" s="34" t="s">
        <v>1170</v>
      </c>
    </row>
    <row r="754" spans="2:40" x14ac:dyDescent="0.3">
      <c r="B754" s="18" t="s">
        <v>2120</v>
      </c>
      <c r="C754" s="47" t="s">
        <v>2416</v>
      </c>
      <c r="D754" s="15" t="s">
        <v>2415</v>
      </c>
      <c r="E754" s="68" t="s">
        <v>2</v>
      </c>
      <c r="F754" s="55" t="s">
        <v>1164</v>
      </c>
      <c r="G754" s="40" t="s">
        <v>2745</v>
      </c>
      <c r="H754" s="71" t="s">
        <v>2745</v>
      </c>
      <c r="I754" s="67" t="s">
        <v>3660</v>
      </c>
      <c r="J754" s="73" t="s">
        <v>270</v>
      </c>
      <c r="K754" s="4">
        <v>9986600</v>
      </c>
      <c r="L754" s="41">
        <v>81.5</v>
      </c>
      <c r="M754" s="4">
        <v>8150000</v>
      </c>
      <c r="N754" s="4">
        <v>10000000</v>
      </c>
      <c r="O754" s="4">
        <v>9988812</v>
      </c>
      <c r="P754" s="4">
        <v>0</v>
      </c>
      <c r="Q754" s="4">
        <v>1235</v>
      </c>
      <c r="R754" s="4">
        <v>0</v>
      </c>
      <c r="S754" s="4">
        <v>0</v>
      </c>
      <c r="T754" s="23">
        <v>2.15</v>
      </c>
      <c r="U754" s="23">
        <v>2.165</v>
      </c>
      <c r="V754" s="5" t="s">
        <v>10</v>
      </c>
      <c r="W754" s="4">
        <v>65694</v>
      </c>
      <c r="X754" s="4">
        <v>215000</v>
      </c>
      <c r="Y754" s="14">
        <v>44257</v>
      </c>
      <c r="Z754" s="14">
        <v>47918</v>
      </c>
      <c r="AA754" s="2"/>
      <c r="AB754" s="69" t="s">
        <v>3892</v>
      </c>
      <c r="AC754" s="5" t="s">
        <v>4178</v>
      </c>
      <c r="AD754" s="2"/>
      <c r="AE754" s="10"/>
      <c r="AF754" s="23"/>
      <c r="AG754" s="10"/>
      <c r="AH754" s="5" t="s">
        <v>3543</v>
      </c>
      <c r="AI754" s="5" t="s">
        <v>4391</v>
      </c>
      <c r="AJ754" s="5" t="s">
        <v>824</v>
      </c>
      <c r="AK754" s="21" t="s">
        <v>2</v>
      </c>
      <c r="AL754" s="72" t="s">
        <v>3894</v>
      </c>
      <c r="AM754" s="54" t="s">
        <v>4179</v>
      </c>
      <c r="AN754" s="34" t="s">
        <v>1170</v>
      </c>
    </row>
    <row r="755" spans="2:40" x14ac:dyDescent="0.3">
      <c r="B755" s="18" t="s">
        <v>3544</v>
      </c>
      <c r="C755" s="47" t="s">
        <v>1290</v>
      </c>
      <c r="D755" s="15" t="s">
        <v>642</v>
      </c>
      <c r="E755" s="68" t="s">
        <v>2</v>
      </c>
      <c r="F755" s="55" t="s">
        <v>2274</v>
      </c>
      <c r="G755" s="40" t="s">
        <v>2</v>
      </c>
      <c r="H755" s="71" t="s">
        <v>3894</v>
      </c>
      <c r="I755" s="67" t="s">
        <v>8</v>
      </c>
      <c r="J755" s="73" t="s">
        <v>270</v>
      </c>
      <c r="K755" s="4">
        <v>4990000</v>
      </c>
      <c r="L755" s="41">
        <v>94.066999999999993</v>
      </c>
      <c r="M755" s="4">
        <v>4703350</v>
      </c>
      <c r="N755" s="4">
        <v>5000000</v>
      </c>
      <c r="O755" s="4">
        <v>4995723</v>
      </c>
      <c r="P755" s="4">
        <v>0</v>
      </c>
      <c r="Q755" s="4">
        <v>1996</v>
      </c>
      <c r="R755" s="4">
        <v>0</v>
      </c>
      <c r="S755" s="4">
        <v>0</v>
      </c>
      <c r="T755" s="23">
        <v>2.625</v>
      </c>
      <c r="U755" s="23">
        <v>2.6680000000000001</v>
      </c>
      <c r="V755" s="5" t="s">
        <v>1916</v>
      </c>
      <c r="W755" s="4">
        <v>57969</v>
      </c>
      <c r="X755" s="4">
        <v>131250</v>
      </c>
      <c r="Y755" s="14">
        <v>43846</v>
      </c>
      <c r="Z755" s="14">
        <v>45679</v>
      </c>
      <c r="AA755" s="2"/>
      <c r="AB755" s="69" t="s">
        <v>3892</v>
      </c>
      <c r="AC755" s="5" t="s">
        <v>4178</v>
      </c>
      <c r="AD755" s="2"/>
      <c r="AE755" s="10"/>
      <c r="AF755" s="23"/>
      <c r="AG755" s="10"/>
      <c r="AH755" s="5" t="s">
        <v>1784</v>
      </c>
      <c r="AI755" s="5" t="s">
        <v>643</v>
      </c>
      <c r="AJ755" s="5" t="s">
        <v>824</v>
      </c>
      <c r="AK755" s="21" t="s">
        <v>2</v>
      </c>
      <c r="AL755" s="72" t="s">
        <v>3894</v>
      </c>
      <c r="AM755" s="54" t="s">
        <v>4179</v>
      </c>
      <c r="AN755" s="34" t="s">
        <v>1189</v>
      </c>
    </row>
    <row r="756" spans="2:40" x14ac:dyDescent="0.3">
      <c r="B756" s="18" t="s">
        <v>998</v>
      </c>
      <c r="C756" s="47" t="s">
        <v>2417</v>
      </c>
      <c r="D756" s="15" t="s">
        <v>642</v>
      </c>
      <c r="E756" s="68" t="s">
        <v>2</v>
      </c>
      <c r="F756" s="55" t="s">
        <v>1164</v>
      </c>
      <c r="G756" s="40" t="s">
        <v>3894</v>
      </c>
      <c r="H756" s="71" t="s">
        <v>3894</v>
      </c>
      <c r="I756" s="67" t="s">
        <v>8</v>
      </c>
      <c r="J756" s="73" t="s">
        <v>270</v>
      </c>
      <c r="K756" s="4">
        <v>10010350</v>
      </c>
      <c r="L756" s="41">
        <v>87.200999999999993</v>
      </c>
      <c r="M756" s="4">
        <v>8720100</v>
      </c>
      <c r="N756" s="4">
        <v>10000000</v>
      </c>
      <c r="O756" s="4">
        <v>10006035</v>
      </c>
      <c r="P756" s="4">
        <v>0</v>
      </c>
      <c r="Q756" s="4">
        <v>-2124</v>
      </c>
      <c r="R756" s="4">
        <v>0</v>
      </c>
      <c r="S756" s="4">
        <v>0</v>
      </c>
      <c r="T756" s="23">
        <v>1.488</v>
      </c>
      <c r="U756" s="23">
        <v>1.4239999999999999</v>
      </c>
      <c r="V756" s="5" t="s">
        <v>3898</v>
      </c>
      <c r="W756" s="4">
        <v>7027</v>
      </c>
      <c r="X756" s="4">
        <v>148800</v>
      </c>
      <c r="Y756" s="14">
        <v>44174</v>
      </c>
      <c r="Z756" s="14">
        <v>46370</v>
      </c>
      <c r="AA756" s="2"/>
      <c r="AB756" s="69" t="s">
        <v>3892</v>
      </c>
      <c r="AC756" s="5" t="s">
        <v>4178</v>
      </c>
      <c r="AD756" s="2"/>
      <c r="AE756" s="14">
        <v>46005</v>
      </c>
      <c r="AF756" s="23">
        <v>100</v>
      </c>
      <c r="AG756" s="14">
        <v>46005</v>
      </c>
      <c r="AH756" s="5" t="s">
        <v>1784</v>
      </c>
      <c r="AI756" s="5" t="s">
        <v>643</v>
      </c>
      <c r="AJ756" s="5" t="s">
        <v>824</v>
      </c>
      <c r="AK756" s="21" t="s">
        <v>2</v>
      </c>
      <c r="AL756" s="72" t="s">
        <v>3894</v>
      </c>
      <c r="AM756" s="54" t="s">
        <v>4179</v>
      </c>
      <c r="AN756" s="34" t="s">
        <v>1189</v>
      </c>
    </row>
    <row r="757" spans="2:40" x14ac:dyDescent="0.3">
      <c r="B757" s="18" t="s">
        <v>2121</v>
      </c>
      <c r="C757" s="47" t="s">
        <v>644</v>
      </c>
      <c r="D757" s="15" t="s">
        <v>642</v>
      </c>
      <c r="E757" s="68" t="s">
        <v>2</v>
      </c>
      <c r="F757" s="55" t="s">
        <v>1164</v>
      </c>
      <c r="G757" s="40" t="s">
        <v>3894</v>
      </c>
      <c r="H757" s="71" t="s">
        <v>3894</v>
      </c>
      <c r="I757" s="67" t="s">
        <v>8</v>
      </c>
      <c r="J757" s="73" t="s">
        <v>270</v>
      </c>
      <c r="K757" s="4">
        <v>5000000</v>
      </c>
      <c r="L757" s="41">
        <v>87.453000000000003</v>
      </c>
      <c r="M757" s="4">
        <v>4372650</v>
      </c>
      <c r="N757" s="4">
        <v>5000000</v>
      </c>
      <c r="O757" s="4">
        <v>4999994</v>
      </c>
      <c r="P757" s="4">
        <v>0</v>
      </c>
      <c r="Q757" s="4">
        <v>-6</v>
      </c>
      <c r="R757" s="4">
        <v>0</v>
      </c>
      <c r="S757" s="4">
        <v>0</v>
      </c>
      <c r="T757" s="23">
        <v>2.7970000000000002</v>
      </c>
      <c r="U757" s="23">
        <v>2.7970000000000002</v>
      </c>
      <c r="V757" s="5" t="s">
        <v>1916</v>
      </c>
      <c r="W757" s="4">
        <v>62933</v>
      </c>
      <c r="X757" s="4">
        <v>69925</v>
      </c>
      <c r="Y757" s="14">
        <v>44572</v>
      </c>
      <c r="Z757" s="14">
        <v>46771</v>
      </c>
      <c r="AA757" s="2"/>
      <c r="AB757" s="69" t="s">
        <v>3892</v>
      </c>
      <c r="AC757" s="5" t="s">
        <v>4178</v>
      </c>
      <c r="AD757" s="2"/>
      <c r="AE757" s="9">
        <v>46406</v>
      </c>
      <c r="AF757" s="23">
        <v>100</v>
      </c>
      <c r="AG757" s="6"/>
      <c r="AH757" s="5" t="s">
        <v>1784</v>
      </c>
      <c r="AI757" s="5" t="s">
        <v>643</v>
      </c>
      <c r="AJ757" s="5" t="s">
        <v>824</v>
      </c>
      <c r="AK757" s="21" t="s">
        <v>2</v>
      </c>
      <c r="AL757" s="72" t="s">
        <v>825</v>
      </c>
      <c r="AM757" s="54" t="s">
        <v>4179</v>
      </c>
      <c r="AN757" s="34" t="s">
        <v>1189</v>
      </c>
    </row>
    <row r="758" spans="2:40" x14ac:dyDescent="0.3">
      <c r="B758" s="18" t="s">
        <v>3253</v>
      </c>
      <c r="C758" s="47" t="s">
        <v>1291</v>
      </c>
      <c r="D758" s="15" t="s">
        <v>1292</v>
      </c>
      <c r="E758" s="68" t="s">
        <v>2</v>
      </c>
      <c r="F758" s="55" t="s">
        <v>1164</v>
      </c>
      <c r="G758" s="40" t="s">
        <v>3894</v>
      </c>
      <c r="H758" s="71" t="s">
        <v>2745</v>
      </c>
      <c r="I758" s="67" t="s">
        <v>1414</v>
      </c>
      <c r="J758" s="73" t="s">
        <v>270</v>
      </c>
      <c r="K758" s="4">
        <v>5000000</v>
      </c>
      <c r="L758" s="41">
        <v>86.89</v>
      </c>
      <c r="M758" s="4">
        <v>4344500</v>
      </c>
      <c r="N758" s="4">
        <v>5000000</v>
      </c>
      <c r="O758" s="4">
        <v>5000000</v>
      </c>
      <c r="P758" s="4">
        <v>0</v>
      </c>
      <c r="Q758" s="4">
        <v>0</v>
      </c>
      <c r="R758" s="4">
        <v>0</v>
      </c>
      <c r="S758" s="4">
        <v>0</v>
      </c>
      <c r="T758" s="23">
        <v>2.6080000000000001</v>
      </c>
      <c r="U758" s="23">
        <v>2.4590000000000001</v>
      </c>
      <c r="V758" s="5" t="s">
        <v>1916</v>
      </c>
      <c r="W758" s="4">
        <v>61216</v>
      </c>
      <c r="X758" s="4">
        <v>65200</v>
      </c>
      <c r="Y758" s="14">
        <v>44566</v>
      </c>
      <c r="Z758" s="14">
        <v>46764</v>
      </c>
      <c r="AA758" s="2"/>
      <c r="AB758" s="69" t="s">
        <v>3892</v>
      </c>
      <c r="AC758" s="5" t="s">
        <v>4178</v>
      </c>
      <c r="AD758" s="2"/>
      <c r="AE758" s="14">
        <v>46399</v>
      </c>
      <c r="AF758" s="23">
        <v>100</v>
      </c>
      <c r="AG758" s="10"/>
      <c r="AH758" s="5" t="s">
        <v>999</v>
      </c>
      <c r="AI758" s="5" t="s">
        <v>2122</v>
      </c>
      <c r="AJ758" s="5" t="s">
        <v>824</v>
      </c>
      <c r="AK758" s="21" t="s">
        <v>2</v>
      </c>
      <c r="AL758" s="72" t="s">
        <v>3894</v>
      </c>
      <c r="AM758" s="54" t="s">
        <v>4179</v>
      </c>
      <c r="AN758" s="34" t="s">
        <v>512</v>
      </c>
    </row>
    <row r="759" spans="2:40" x14ac:dyDescent="0.3">
      <c r="B759" s="18" t="s">
        <v>4392</v>
      </c>
      <c r="C759" s="47" t="s">
        <v>645</v>
      </c>
      <c r="D759" s="15" t="s">
        <v>1292</v>
      </c>
      <c r="E759" s="68" t="s">
        <v>2</v>
      </c>
      <c r="F759" s="55" t="s">
        <v>2274</v>
      </c>
      <c r="G759" s="40" t="s">
        <v>3894</v>
      </c>
      <c r="H759" s="71" t="s">
        <v>2745</v>
      </c>
      <c r="I759" s="67" t="s">
        <v>1414</v>
      </c>
      <c r="J759" s="73" t="s">
        <v>270</v>
      </c>
      <c r="K759" s="4">
        <v>8410971</v>
      </c>
      <c r="L759" s="41">
        <v>93.063999999999993</v>
      </c>
      <c r="M759" s="4">
        <v>7724312</v>
      </c>
      <c r="N759" s="4">
        <v>8300000</v>
      </c>
      <c r="O759" s="4">
        <v>8348413</v>
      </c>
      <c r="P759" s="4">
        <v>0</v>
      </c>
      <c r="Q759" s="4">
        <v>-22380</v>
      </c>
      <c r="R759" s="4">
        <v>0</v>
      </c>
      <c r="S759" s="4">
        <v>0</v>
      </c>
      <c r="T759" s="23">
        <v>2.819</v>
      </c>
      <c r="U759" s="23">
        <v>2.5289999999999999</v>
      </c>
      <c r="V759" s="5" t="s">
        <v>1916</v>
      </c>
      <c r="W759" s="4">
        <v>98140</v>
      </c>
      <c r="X759" s="4">
        <v>233977</v>
      </c>
      <c r="Y759" s="14">
        <v>43873</v>
      </c>
      <c r="Z759" s="14">
        <v>46052</v>
      </c>
      <c r="AA759" s="2"/>
      <c r="AB759" s="69" t="s">
        <v>3892</v>
      </c>
      <c r="AC759" s="5" t="s">
        <v>4178</v>
      </c>
      <c r="AD759" s="2"/>
      <c r="AE759" s="14">
        <v>45687</v>
      </c>
      <c r="AF759" s="23">
        <v>100</v>
      </c>
      <c r="AG759" s="14">
        <v>45687</v>
      </c>
      <c r="AH759" s="5" t="s">
        <v>999</v>
      </c>
      <c r="AI759" s="5" t="s">
        <v>2122</v>
      </c>
      <c r="AJ759" s="5" t="s">
        <v>824</v>
      </c>
      <c r="AK759" s="21" t="s">
        <v>2</v>
      </c>
      <c r="AL759" s="72" t="s">
        <v>3894</v>
      </c>
      <c r="AM759" s="54" t="s">
        <v>4179</v>
      </c>
      <c r="AN759" s="34" t="s">
        <v>512</v>
      </c>
    </row>
    <row r="760" spans="2:40" x14ac:dyDescent="0.3">
      <c r="B760" s="18" t="s">
        <v>1000</v>
      </c>
      <c r="C760" s="47" t="s">
        <v>2123</v>
      </c>
      <c r="D760" s="15" t="s">
        <v>1507</v>
      </c>
      <c r="E760" s="68" t="s">
        <v>2</v>
      </c>
      <c r="F760" s="55" t="s">
        <v>1164</v>
      </c>
      <c r="G760" s="40" t="s">
        <v>2</v>
      </c>
      <c r="H760" s="71" t="s">
        <v>2745</v>
      </c>
      <c r="I760" s="67" t="s">
        <v>1414</v>
      </c>
      <c r="J760" s="73" t="s">
        <v>270</v>
      </c>
      <c r="K760" s="4">
        <v>5000000</v>
      </c>
      <c r="L760" s="41">
        <v>82.81</v>
      </c>
      <c r="M760" s="4">
        <v>4140500</v>
      </c>
      <c r="N760" s="4">
        <v>5000000</v>
      </c>
      <c r="O760" s="4">
        <v>5000000</v>
      </c>
      <c r="P760" s="4">
        <v>0</v>
      </c>
      <c r="Q760" s="4">
        <v>0</v>
      </c>
      <c r="R760" s="4">
        <v>0</v>
      </c>
      <c r="S760" s="4">
        <v>0</v>
      </c>
      <c r="T760" s="23">
        <v>1.9019999999999999</v>
      </c>
      <c r="U760" s="23">
        <v>1.9019999999999999</v>
      </c>
      <c r="V760" s="5" t="s">
        <v>10</v>
      </c>
      <c r="W760" s="4">
        <v>27473</v>
      </c>
      <c r="X760" s="4">
        <v>95100</v>
      </c>
      <c r="Y760" s="14">
        <v>44452</v>
      </c>
      <c r="Z760" s="14">
        <v>47013</v>
      </c>
      <c r="AA760" s="2"/>
      <c r="AB760" s="69" t="s">
        <v>3892</v>
      </c>
      <c r="AC760" s="5" t="s">
        <v>4178</v>
      </c>
      <c r="AD760" s="2"/>
      <c r="AE760" s="10"/>
      <c r="AF760" s="23"/>
      <c r="AG760" s="10"/>
      <c r="AH760" s="5" t="s">
        <v>2</v>
      </c>
      <c r="AI760" s="5" t="s">
        <v>3545</v>
      </c>
      <c r="AJ760" s="5" t="s">
        <v>3761</v>
      </c>
      <c r="AK760" s="21" t="s">
        <v>2</v>
      </c>
      <c r="AL760" s="72" t="s">
        <v>3894</v>
      </c>
      <c r="AM760" s="54" t="s">
        <v>4179</v>
      </c>
      <c r="AN760" s="34" t="s">
        <v>512</v>
      </c>
    </row>
    <row r="761" spans="2:40" x14ac:dyDescent="0.3">
      <c r="B761" s="18" t="s">
        <v>2124</v>
      </c>
      <c r="C761" s="47" t="s">
        <v>1293</v>
      </c>
      <c r="D761" s="15" t="s">
        <v>1507</v>
      </c>
      <c r="E761" s="68" t="s">
        <v>2</v>
      </c>
      <c r="F761" s="55" t="s">
        <v>1164</v>
      </c>
      <c r="G761" s="40" t="s">
        <v>2</v>
      </c>
      <c r="H761" s="71" t="s">
        <v>2745</v>
      </c>
      <c r="I761" s="67" t="s">
        <v>1414</v>
      </c>
      <c r="J761" s="73" t="s">
        <v>270</v>
      </c>
      <c r="K761" s="4">
        <v>2000000</v>
      </c>
      <c r="L761" s="41">
        <v>84.49</v>
      </c>
      <c r="M761" s="4">
        <v>1689800</v>
      </c>
      <c r="N761" s="4">
        <v>2000000</v>
      </c>
      <c r="O761" s="4">
        <v>2000000</v>
      </c>
      <c r="P761" s="4">
        <v>0</v>
      </c>
      <c r="Q761" s="4">
        <v>0</v>
      </c>
      <c r="R761" s="4">
        <v>0</v>
      </c>
      <c r="S761" s="4">
        <v>0</v>
      </c>
      <c r="T761" s="23">
        <v>2.472</v>
      </c>
      <c r="U761" s="23">
        <v>2.472</v>
      </c>
      <c r="V761" s="5" t="s">
        <v>1916</v>
      </c>
      <c r="W761" s="4">
        <v>22935</v>
      </c>
      <c r="X761" s="4">
        <v>24720</v>
      </c>
      <c r="Y761" s="14">
        <v>44566</v>
      </c>
      <c r="Z761" s="14">
        <v>47132</v>
      </c>
      <c r="AA761" s="2"/>
      <c r="AB761" s="69" t="s">
        <v>3892</v>
      </c>
      <c r="AC761" s="5" t="s">
        <v>4178</v>
      </c>
      <c r="AD761" s="2"/>
      <c r="AE761" s="10"/>
      <c r="AF761" s="23"/>
      <c r="AG761" s="10"/>
      <c r="AH761" s="5" t="s">
        <v>2</v>
      </c>
      <c r="AI761" s="5" t="s">
        <v>3545</v>
      </c>
      <c r="AJ761" s="5" t="s">
        <v>3761</v>
      </c>
      <c r="AK761" s="21" t="s">
        <v>2</v>
      </c>
      <c r="AL761" s="72" t="s">
        <v>3894</v>
      </c>
      <c r="AM761" s="54" t="s">
        <v>4179</v>
      </c>
      <c r="AN761" s="34" t="s">
        <v>512</v>
      </c>
    </row>
    <row r="762" spans="2:40" x14ac:dyDescent="0.3">
      <c r="B762" s="18" t="s">
        <v>3254</v>
      </c>
      <c r="C762" s="47" t="s">
        <v>2632</v>
      </c>
      <c r="D762" s="15" t="s">
        <v>1785</v>
      </c>
      <c r="E762" s="68" t="s">
        <v>2</v>
      </c>
      <c r="F762" s="55" t="s">
        <v>2274</v>
      </c>
      <c r="G762" s="40" t="s">
        <v>2745</v>
      </c>
      <c r="H762" s="71" t="s">
        <v>3894</v>
      </c>
      <c r="I762" s="67" t="s">
        <v>8</v>
      </c>
      <c r="J762" s="73" t="s">
        <v>270</v>
      </c>
      <c r="K762" s="4">
        <v>1798420</v>
      </c>
      <c r="L762" s="41">
        <v>99.221999999999994</v>
      </c>
      <c r="M762" s="4">
        <v>1785004</v>
      </c>
      <c r="N762" s="4">
        <v>1799000</v>
      </c>
      <c r="O762" s="4">
        <v>1798869</v>
      </c>
      <c r="P762" s="4">
        <v>0</v>
      </c>
      <c r="Q762" s="4">
        <v>139</v>
      </c>
      <c r="R762" s="4">
        <v>0</v>
      </c>
      <c r="S762" s="4">
        <v>0</v>
      </c>
      <c r="T762" s="23">
        <v>4.4000000000000004</v>
      </c>
      <c r="U762" s="23">
        <v>4.4080000000000004</v>
      </c>
      <c r="V762" s="5" t="s">
        <v>3409</v>
      </c>
      <c r="W762" s="4">
        <v>7696</v>
      </c>
      <c r="X762" s="4">
        <v>79156</v>
      </c>
      <c r="Y762" s="14">
        <v>43816</v>
      </c>
      <c r="Z762" s="14">
        <v>45256</v>
      </c>
      <c r="AA762" s="2"/>
      <c r="AB762" s="69" t="s">
        <v>3892</v>
      </c>
      <c r="AC762" s="5" t="s">
        <v>4178</v>
      </c>
      <c r="AD762" s="2"/>
      <c r="AE762" s="14">
        <v>45225</v>
      </c>
      <c r="AF762" s="23">
        <v>100</v>
      </c>
      <c r="AG762" s="10"/>
      <c r="AH762" s="5" t="s">
        <v>2633</v>
      </c>
      <c r="AI762" s="5" t="s">
        <v>1508</v>
      </c>
      <c r="AJ762" s="5" t="s">
        <v>1508</v>
      </c>
      <c r="AK762" s="21" t="s">
        <v>2</v>
      </c>
      <c r="AL762" s="72" t="s">
        <v>3894</v>
      </c>
      <c r="AM762" s="54" t="s">
        <v>4179</v>
      </c>
      <c r="AN762" s="34" t="s">
        <v>1189</v>
      </c>
    </row>
    <row r="763" spans="2:40" x14ac:dyDescent="0.3">
      <c r="B763" s="18" t="s">
        <v>153</v>
      </c>
      <c r="C763" s="47" t="s">
        <v>3762</v>
      </c>
      <c r="D763" s="15" t="s">
        <v>1508</v>
      </c>
      <c r="E763" s="68" t="s">
        <v>2</v>
      </c>
      <c r="F763" s="55" t="s">
        <v>1164</v>
      </c>
      <c r="G763" s="40" t="s">
        <v>2745</v>
      </c>
      <c r="H763" s="71" t="s">
        <v>3894</v>
      </c>
      <c r="I763" s="67" t="s">
        <v>8</v>
      </c>
      <c r="J763" s="73" t="s">
        <v>270</v>
      </c>
      <c r="K763" s="4">
        <v>3946200</v>
      </c>
      <c r="L763" s="41">
        <v>81.811000000000007</v>
      </c>
      <c r="M763" s="4">
        <v>3272440</v>
      </c>
      <c r="N763" s="4">
        <v>4000000</v>
      </c>
      <c r="O763" s="4">
        <v>3954974</v>
      </c>
      <c r="P763" s="4">
        <v>0</v>
      </c>
      <c r="Q763" s="4">
        <v>5667</v>
      </c>
      <c r="R763" s="4">
        <v>0</v>
      </c>
      <c r="S763" s="4">
        <v>0</v>
      </c>
      <c r="T763" s="23">
        <v>2.0499999999999998</v>
      </c>
      <c r="U763" s="23">
        <v>2.2189999999999999</v>
      </c>
      <c r="V763" s="5" t="s">
        <v>10</v>
      </c>
      <c r="W763" s="4">
        <v>20728</v>
      </c>
      <c r="X763" s="4">
        <v>82000</v>
      </c>
      <c r="Y763" s="14">
        <v>44357</v>
      </c>
      <c r="Z763" s="14">
        <v>47573</v>
      </c>
      <c r="AA763" s="2"/>
      <c r="AB763" s="69" t="s">
        <v>3892</v>
      </c>
      <c r="AC763" s="5" t="s">
        <v>4178</v>
      </c>
      <c r="AD763" s="2"/>
      <c r="AE763" s="14">
        <v>47483</v>
      </c>
      <c r="AF763" s="23">
        <v>100</v>
      </c>
      <c r="AG763" s="10"/>
      <c r="AH763" s="5" t="s">
        <v>2633</v>
      </c>
      <c r="AI763" s="5" t="s">
        <v>1508</v>
      </c>
      <c r="AJ763" s="5" t="s">
        <v>2</v>
      </c>
      <c r="AK763" s="21" t="s">
        <v>2</v>
      </c>
      <c r="AL763" s="72" t="s">
        <v>3894</v>
      </c>
      <c r="AM763" s="54" t="s">
        <v>4179</v>
      </c>
      <c r="AN763" s="34" t="s">
        <v>1189</v>
      </c>
    </row>
    <row r="764" spans="2:40" x14ac:dyDescent="0.3">
      <c r="B764" s="18" t="s">
        <v>1294</v>
      </c>
      <c r="C764" s="47" t="s">
        <v>1295</v>
      </c>
      <c r="D764" s="15" t="s">
        <v>2418</v>
      </c>
      <c r="E764" s="68" t="s">
        <v>2</v>
      </c>
      <c r="F764" s="55" t="s">
        <v>1164</v>
      </c>
      <c r="G764" s="40" t="s">
        <v>2</v>
      </c>
      <c r="H764" s="71" t="s">
        <v>3894</v>
      </c>
      <c r="I764" s="67" t="s">
        <v>1164</v>
      </c>
      <c r="J764" s="73" t="s">
        <v>2</v>
      </c>
      <c r="K764" s="4">
        <v>7359590</v>
      </c>
      <c r="L764" s="41">
        <v>87.274000000000001</v>
      </c>
      <c r="M764" s="4">
        <v>6109180</v>
      </c>
      <c r="N764" s="4">
        <v>7000000</v>
      </c>
      <c r="O764" s="4">
        <v>7297902</v>
      </c>
      <c r="P764" s="4">
        <v>0</v>
      </c>
      <c r="Q764" s="4">
        <v>-38995</v>
      </c>
      <c r="R764" s="4">
        <v>0</v>
      </c>
      <c r="S764" s="4">
        <v>0</v>
      </c>
      <c r="T764" s="23">
        <v>3.31</v>
      </c>
      <c r="U764" s="23">
        <v>2.63</v>
      </c>
      <c r="V764" s="5" t="s">
        <v>3409</v>
      </c>
      <c r="W764" s="4">
        <v>27032</v>
      </c>
      <c r="X764" s="4">
        <v>231700</v>
      </c>
      <c r="Y764" s="14">
        <v>44329</v>
      </c>
      <c r="Z764" s="14">
        <v>47441</v>
      </c>
      <c r="AA764" s="2"/>
      <c r="AB764" s="69" t="s">
        <v>1671</v>
      </c>
      <c r="AC764" s="5" t="s">
        <v>2</v>
      </c>
      <c r="AD764" s="2"/>
      <c r="AE764" s="6"/>
      <c r="AF764" s="23"/>
      <c r="AG764" s="10"/>
      <c r="AH764" s="5" t="s">
        <v>2</v>
      </c>
      <c r="AI764" s="5" t="s">
        <v>3763</v>
      </c>
      <c r="AJ764" s="5" t="s">
        <v>3764</v>
      </c>
      <c r="AK764" s="21" t="s">
        <v>2</v>
      </c>
      <c r="AL764" s="72" t="s">
        <v>3894</v>
      </c>
      <c r="AM764" s="54" t="s">
        <v>4179</v>
      </c>
      <c r="AN764" s="34" t="s">
        <v>2867</v>
      </c>
    </row>
    <row r="765" spans="2:40" x14ac:dyDescent="0.3">
      <c r="B765" s="18" t="s">
        <v>2419</v>
      </c>
      <c r="C765" s="47" t="s">
        <v>1509</v>
      </c>
      <c r="D765" s="15" t="s">
        <v>3546</v>
      </c>
      <c r="E765" s="68" t="s">
        <v>2</v>
      </c>
      <c r="F765" s="55" t="s">
        <v>1164</v>
      </c>
      <c r="G765" s="40" t="s">
        <v>3894</v>
      </c>
      <c r="H765" s="71" t="s">
        <v>2745</v>
      </c>
      <c r="I765" s="67" t="s">
        <v>1414</v>
      </c>
      <c r="J765" s="73" t="s">
        <v>270</v>
      </c>
      <c r="K765" s="4">
        <v>5000000</v>
      </c>
      <c r="L765" s="41">
        <v>77.524000000000001</v>
      </c>
      <c r="M765" s="4">
        <v>3876200</v>
      </c>
      <c r="N765" s="4">
        <v>5000000</v>
      </c>
      <c r="O765" s="4">
        <v>5000000</v>
      </c>
      <c r="P765" s="4">
        <v>0</v>
      </c>
      <c r="Q765" s="4">
        <v>0</v>
      </c>
      <c r="R765" s="4">
        <v>0</v>
      </c>
      <c r="S765" s="4">
        <v>0</v>
      </c>
      <c r="T765" s="23">
        <v>2.746</v>
      </c>
      <c r="U765" s="23">
        <v>2.746</v>
      </c>
      <c r="V765" s="5" t="s">
        <v>268</v>
      </c>
      <c r="W765" s="4">
        <v>53394</v>
      </c>
      <c r="X765" s="4">
        <v>80092</v>
      </c>
      <c r="Y765" s="14">
        <v>44565</v>
      </c>
      <c r="Z765" s="14">
        <v>48621</v>
      </c>
      <c r="AA765" s="2"/>
      <c r="AB765" s="69" t="s">
        <v>3892</v>
      </c>
      <c r="AC765" s="5" t="s">
        <v>4178</v>
      </c>
      <c r="AD765" s="2"/>
      <c r="AE765" s="9">
        <v>48255</v>
      </c>
      <c r="AF765" s="23">
        <v>100</v>
      </c>
      <c r="AG765" s="10"/>
      <c r="AH765" s="5" t="s">
        <v>2420</v>
      </c>
      <c r="AI765" s="5" t="s">
        <v>2125</v>
      </c>
      <c r="AJ765" s="5" t="s">
        <v>824</v>
      </c>
      <c r="AK765" s="21" t="s">
        <v>2</v>
      </c>
      <c r="AL765" s="72" t="s">
        <v>3894</v>
      </c>
      <c r="AM765" s="54" t="s">
        <v>4179</v>
      </c>
      <c r="AN765" s="34" t="s">
        <v>512</v>
      </c>
    </row>
    <row r="766" spans="2:40" x14ac:dyDescent="0.3">
      <c r="B766" s="18" t="s">
        <v>4393</v>
      </c>
      <c r="C766" s="47" t="s">
        <v>2634</v>
      </c>
      <c r="D766" s="15" t="s">
        <v>3546</v>
      </c>
      <c r="E766" s="68" t="s">
        <v>2</v>
      </c>
      <c r="F766" s="55" t="s">
        <v>1164</v>
      </c>
      <c r="G766" s="40" t="s">
        <v>3894</v>
      </c>
      <c r="H766" s="71" t="s">
        <v>2745</v>
      </c>
      <c r="I766" s="67" t="s">
        <v>1414</v>
      </c>
      <c r="J766" s="73" t="s">
        <v>270</v>
      </c>
      <c r="K766" s="4">
        <v>4350000</v>
      </c>
      <c r="L766" s="41">
        <v>95.933000000000007</v>
      </c>
      <c r="M766" s="4">
        <v>4173086</v>
      </c>
      <c r="N766" s="4">
        <v>4350000</v>
      </c>
      <c r="O766" s="4">
        <v>4350000</v>
      </c>
      <c r="P766" s="4">
        <v>0</v>
      </c>
      <c r="Q766" s="4">
        <v>0</v>
      </c>
      <c r="R766" s="4">
        <v>0</v>
      </c>
      <c r="S766" s="4">
        <v>0</v>
      </c>
      <c r="T766" s="23">
        <v>4.7510000000000003</v>
      </c>
      <c r="U766" s="23">
        <v>4.5960000000000001</v>
      </c>
      <c r="V766" s="5" t="s">
        <v>3409</v>
      </c>
      <c r="W766" s="4">
        <v>28130</v>
      </c>
      <c r="X766" s="4">
        <v>103334</v>
      </c>
      <c r="Y766" s="14">
        <v>44684</v>
      </c>
      <c r="Z766" s="14">
        <v>46885</v>
      </c>
      <c r="AA766" s="2"/>
      <c r="AB766" s="69" t="s">
        <v>3892</v>
      </c>
      <c r="AC766" s="5" t="s">
        <v>4178</v>
      </c>
      <c r="AD766" s="2"/>
      <c r="AE766" s="9">
        <v>46519</v>
      </c>
      <c r="AF766" s="23">
        <v>100</v>
      </c>
      <c r="AG766" s="10"/>
      <c r="AH766" s="5" t="s">
        <v>2420</v>
      </c>
      <c r="AI766" s="5" t="s">
        <v>2125</v>
      </c>
      <c r="AJ766" s="5" t="s">
        <v>824</v>
      </c>
      <c r="AK766" s="21" t="s">
        <v>2</v>
      </c>
      <c r="AL766" s="72" t="s">
        <v>3894</v>
      </c>
      <c r="AM766" s="54" t="s">
        <v>4179</v>
      </c>
      <c r="AN766" s="34" t="s">
        <v>512</v>
      </c>
    </row>
    <row r="767" spans="2:40" x14ac:dyDescent="0.3">
      <c r="B767" s="18" t="s">
        <v>1001</v>
      </c>
      <c r="C767" s="47" t="s">
        <v>2902</v>
      </c>
      <c r="D767" s="15" t="s">
        <v>388</v>
      </c>
      <c r="E767" s="68" t="s">
        <v>2</v>
      </c>
      <c r="F767" s="55" t="s">
        <v>2274</v>
      </c>
      <c r="G767" s="40" t="s">
        <v>2745</v>
      </c>
      <c r="H767" s="71" t="s">
        <v>3894</v>
      </c>
      <c r="I767" s="67" t="s">
        <v>8</v>
      </c>
      <c r="J767" s="73" t="s">
        <v>270</v>
      </c>
      <c r="K767" s="4">
        <v>5013210</v>
      </c>
      <c r="L767" s="41">
        <v>98.427999999999997</v>
      </c>
      <c r="M767" s="4">
        <v>4921400</v>
      </c>
      <c r="N767" s="4">
        <v>5000000</v>
      </c>
      <c r="O767" s="4">
        <v>5006725</v>
      </c>
      <c r="P767" s="4">
        <v>0</v>
      </c>
      <c r="Q767" s="4">
        <v>-2655</v>
      </c>
      <c r="R767" s="4">
        <v>0</v>
      </c>
      <c r="S767" s="4">
        <v>0</v>
      </c>
      <c r="T767" s="23">
        <v>4.125</v>
      </c>
      <c r="U767" s="23">
        <v>4.0650000000000004</v>
      </c>
      <c r="V767" s="5" t="s">
        <v>3409</v>
      </c>
      <c r="W767" s="4">
        <v>17760</v>
      </c>
      <c r="X767" s="4">
        <v>206250</v>
      </c>
      <c r="Y767" s="14">
        <v>43553</v>
      </c>
      <c r="Z767" s="14">
        <v>45807</v>
      </c>
      <c r="AA767" s="2"/>
      <c r="AB767" s="69" t="s">
        <v>3892</v>
      </c>
      <c r="AC767" s="5" t="s">
        <v>4178</v>
      </c>
      <c r="AD767" s="2"/>
      <c r="AE767" s="6"/>
      <c r="AF767" s="23"/>
      <c r="AG767" s="10"/>
      <c r="AH767" s="5" t="s">
        <v>2903</v>
      </c>
      <c r="AI767" s="5" t="s">
        <v>388</v>
      </c>
      <c r="AJ767" s="5" t="s">
        <v>2</v>
      </c>
      <c r="AK767" s="21" t="s">
        <v>2</v>
      </c>
      <c r="AL767" s="72" t="s">
        <v>3894</v>
      </c>
      <c r="AM767" s="54" t="s">
        <v>4179</v>
      </c>
      <c r="AN767" s="34" t="s">
        <v>1189</v>
      </c>
    </row>
    <row r="768" spans="2:40" x14ac:dyDescent="0.3">
      <c r="B768" s="18" t="s">
        <v>2126</v>
      </c>
      <c r="C768" s="47" t="s">
        <v>2635</v>
      </c>
      <c r="D768" s="15" t="s">
        <v>646</v>
      </c>
      <c r="E768" s="68" t="s">
        <v>2</v>
      </c>
      <c r="F768" s="55" t="s">
        <v>1164</v>
      </c>
      <c r="G768" s="40" t="s">
        <v>2</v>
      </c>
      <c r="H768" s="71" t="s">
        <v>2745</v>
      </c>
      <c r="I768" s="67" t="s">
        <v>2274</v>
      </c>
      <c r="J768" s="73" t="s">
        <v>270</v>
      </c>
      <c r="K768" s="4">
        <v>5000000</v>
      </c>
      <c r="L768" s="41">
        <v>97.688999999999993</v>
      </c>
      <c r="M768" s="4">
        <v>4884450</v>
      </c>
      <c r="N768" s="4">
        <v>5000000</v>
      </c>
      <c r="O768" s="4">
        <v>5000000</v>
      </c>
      <c r="P768" s="4">
        <v>0</v>
      </c>
      <c r="Q768" s="4">
        <v>0</v>
      </c>
      <c r="R768" s="4">
        <v>0</v>
      </c>
      <c r="S768" s="4">
        <v>0</v>
      </c>
      <c r="T768" s="23">
        <v>4.0430000000000001</v>
      </c>
      <c r="U768" s="23">
        <v>4.0430000000000001</v>
      </c>
      <c r="V768" s="5" t="s">
        <v>268</v>
      </c>
      <c r="W768" s="4">
        <v>70191</v>
      </c>
      <c r="X768" s="4">
        <v>50538</v>
      </c>
      <c r="Y768" s="14">
        <v>44699</v>
      </c>
      <c r="Z768" s="14">
        <v>46625</v>
      </c>
      <c r="AA768" s="2"/>
      <c r="AB768" s="69" t="s">
        <v>3892</v>
      </c>
      <c r="AC768" s="5" t="s">
        <v>4178</v>
      </c>
      <c r="AD768" s="2"/>
      <c r="AE768" s="10"/>
      <c r="AF768" s="23"/>
      <c r="AG768" s="10"/>
      <c r="AH768" s="5" t="s">
        <v>1296</v>
      </c>
      <c r="AI768" s="5" t="s">
        <v>646</v>
      </c>
      <c r="AJ768" s="5" t="s">
        <v>2</v>
      </c>
      <c r="AK768" s="21" t="s">
        <v>2</v>
      </c>
      <c r="AL768" s="72" t="s">
        <v>3894</v>
      </c>
      <c r="AM768" s="54" t="s">
        <v>4179</v>
      </c>
      <c r="AN768" s="34" t="s">
        <v>1408</v>
      </c>
    </row>
    <row r="769" spans="2:40" x14ac:dyDescent="0.3">
      <c r="B769" s="18" t="s">
        <v>3255</v>
      </c>
      <c r="C769" s="47" t="s">
        <v>3765</v>
      </c>
      <c r="D769" s="15" t="s">
        <v>646</v>
      </c>
      <c r="E769" s="68" t="s">
        <v>2</v>
      </c>
      <c r="F769" s="55" t="s">
        <v>1164</v>
      </c>
      <c r="G769" s="40" t="s">
        <v>3894</v>
      </c>
      <c r="H769" s="71" t="s">
        <v>3894</v>
      </c>
      <c r="I769" s="67" t="s">
        <v>3408</v>
      </c>
      <c r="J769" s="73" t="s">
        <v>270</v>
      </c>
      <c r="K769" s="4">
        <v>3000000</v>
      </c>
      <c r="L769" s="41">
        <v>93.590999999999994</v>
      </c>
      <c r="M769" s="4">
        <v>2807730</v>
      </c>
      <c r="N769" s="4">
        <v>3000000</v>
      </c>
      <c r="O769" s="4">
        <v>3000000</v>
      </c>
      <c r="P769" s="4">
        <v>0</v>
      </c>
      <c r="Q769" s="4">
        <v>0</v>
      </c>
      <c r="R769" s="4">
        <v>0</v>
      </c>
      <c r="S769" s="4">
        <v>0</v>
      </c>
      <c r="T769" s="23">
        <v>5.4050000000000002</v>
      </c>
      <c r="U769" s="23">
        <v>5.4050000000000002</v>
      </c>
      <c r="V769" s="5" t="s">
        <v>268</v>
      </c>
      <c r="W769" s="4">
        <v>63509</v>
      </c>
      <c r="X769" s="4">
        <v>0</v>
      </c>
      <c r="Y769" s="14">
        <v>44776</v>
      </c>
      <c r="Z769" s="14">
        <v>48801</v>
      </c>
      <c r="AA769" s="2"/>
      <c r="AB769" s="69" t="s">
        <v>3892</v>
      </c>
      <c r="AC769" s="5" t="s">
        <v>4178</v>
      </c>
      <c r="AD769" s="2"/>
      <c r="AE769" s="14">
        <v>48436</v>
      </c>
      <c r="AF769" s="23">
        <v>100</v>
      </c>
      <c r="AG769" s="10"/>
      <c r="AH769" s="5" t="s">
        <v>1296</v>
      </c>
      <c r="AI769" s="5" t="s">
        <v>646</v>
      </c>
      <c r="AJ769" s="5" t="s">
        <v>2</v>
      </c>
      <c r="AK769" s="21" t="s">
        <v>2</v>
      </c>
      <c r="AL769" s="72" t="s">
        <v>825</v>
      </c>
      <c r="AM769" s="54" t="s">
        <v>4179</v>
      </c>
      <c r="AN769" s="34" t="s">
        <v>1650</v>
      </c>
    </row>
    <row r="770" spans="2:40" x14ac:dyDescent="0.3">
      <c r="B770" s="18" t="s">
        <v>4394</v>
      </c>
      <c r="C770" s="47" t="s">
        <v>2904</v>
      </c>
      <c r="D770" s="15" t="s">
        <v>3547</v>
      </c>
      <c r="E770" s="68" t="s">
        <v>2</v>
      </c>
      <c r="F770" s="55" t="s">
        <v>1164</v>
      </c>
      <c r="G770" s="40" t="s">
        <v>2745</v>
      </c>
      <c r="H770" s="71" t="s">
        <v>3894</v>
      </c>
      <c r="I770" s="67" t="s">
        <v>3408</v>
      </c>
      <c r="J770" s="73" t="s">
        <v>270</v>
      </c>
      <c r="K770" s="4">
        <v>10095120</v>
      </c>
      <c r="L770" s="41">
        <v>90.683000000000007</v>
      </c>
      <c r="M770" s="4">
        <v>8614885</v>
      </c>
      <c r="N770" s="4">
        <v>9500000</v>
      </c>
      <c r="O770" s="4">
        <v>9944297</v>
      </c>
      <c r="P770" s="4">
        <v>0</v>
      </c>
      <c r="Q770" s="4">
        <v>-82728</v>
      </c>
      <c r="R770" s="4">
        <v>0</v>
      </c>
      <c r="S770" s="4">
        <v>0</v>
      </c>
      <c r="T770" s="23">
        <v>3.7</v>
      </c>
      <c r="U770" s="23">
        <v>2.6859999999999999</v>
      </c>
      <c r="V770" s="5" t="s">
        <v>10</v>
      </c>
      <c r="W770" s="4">
        <v>103497</v>
      </c>
      <c r="X770" s="4">
        <v>351500</v>
      </c>
      <c r="Y770" s="14">
        <v>44252</v>
      </c>
      <c r="Z770" s="14">
        <v>46827</v>
      </c>
      <c r="AA770" s="2"/>
      <c r="AB770" s="69" t="s">
        <v>3892</v>
      </c>
      <c r="AC770" s="5" t="s">
        <v>4178</v>
      </c>
      <c r="AD770" s="2"/>
      <c r="AE770" s="14">
        <v>46736</v>
      </c>
      <c r="AF770" s="23">
        <v>100</v>
      </c>
      <c r="AG770" s="14">
        <v>46736</v>
      </c>
      <c r="AH770" s="5" t="s">
        <v>2127</v>
      </c>
      <c r="AI770" s="5" t="s">
        <v>2905</v>
      </c>
      <c r="AJ770" s="5" t="s">
        <v>824</v>
      </c>
      <c r="AK770" s="21" t="s">
        <v>2</v>
      </c>
      <c r="AL770" s="72" t="s">
        <v>3894</v>
      </c>
      <c r="AM770" s="54" t="s">
        <v>4179</v>
      </c>
      <c r="AN770" s="34" t="s">
        <v>1650</v>
      </c>
    </row>
    <row r="771" spans="2:40" x14ac:dyDescent="0.3">
      <c r="B771" s="18" t="s">
        <v>1002</v>
      </c>
      <c r="C771" s="47" t="s">
        <v>1297</v>
      </c>
      <c r="D771" s="15" t="s">
        <v>4395</v>
      </c>
      <c r="E771" s="68" t="s">
        <v>2</v>
      </c>
      <c r="F771" s="55" t="s">
        <v>1164</v>
      </c>
      <c r="G771" s="40" t="s">
        <v>2745</v>
      </c>
      <c r="H771" s="71" t="s">
        <v>3894</v>
      </c>
      <c r="I771" s="67" t="s">
        <v>8</v>
      </c>
      <c r="J771" s="73" t="s">
        <v>270</v>
      </c>
      <c r="K771" s="4">
        <v>5290610</v>
      </c>
      <c r="L771" s="41">
        <v>80.501999999999995</v>
      </c>
      <c r="M771" s="4">
        <v>4025100</v>
      </c>
      <c r="N771" s="4">
        <v>5000000</v>
      </c>
      <c r="O771" s="4">
        <v>5251212</v>
      </c>
      <c r="P771" s="4">
        <v>0</v>
      </c>
      <c r="Q771" s="4">
        <v>-31720</v>
      </c>
      <c r="R771" s="4">
        <v>0</v>
      </c>
      <c r="S771" s="4">
        <v>0</v>
      </c>
      <c r="T771" s="23">
        <v>3.1480000000000001</v>
      </c>
      <c r="U771" s="23">
        <v>2.3820000000000001</v>
      </c>
      <c r="V771" s="5" t="s">
        <v>3898</v>
      </c>
      <c r="W771" s="4">
        <v>11805</v>
      </c>
      <c r="X771" s="4">
        <v>157400</v>
      </c>
      <c r="Y771" s="14">
        <v>44470</v>
      </c>
      <c r="Z771" s="14">
        <v>47638</v>
      </c>
      <c r="AA771" s="2"/>
      <c r="AB771" s="69" t="s">
        <v>3892</v>
      </c>
      <c r="AC771" s="5" t="s">
        <v>4178</v>
      </c>
      <c r="AD771" s="2"/>
      <c r="AE771" s="9">
        <v>47546</v>
      </c>
      <c r="AF771" s="23">
        <v>100</v>
      </c>
      <c r="AG771" s="14">
        <v>47546</v>
      </c>
      <c r="AH771" s="5" t="s">
        <v>2</v>
      </c>
      <c r="AI771" s="5" t="s">
        <v>4396</v>
      </c>
      <c r="AJ771" s="5" t="s">
        <v>824</v>
      </c>
      <c r="AK771" s="21" t="s">
        <v>2</v>
      </c>
      <c r="AL771" s="72" t="s">
        <v>3894</v>
      </c>
      <c r="AM771" s="54" t="s">
        <v>4179</v>
      </c>
      <c r="AN771" s="34" t="s">
        <v>1189</v>
      </c>
    </row>
    <row r="772" spans="2:40" x14ac:dyDescent="0.3">
      <c r="B772" s="18" t="s">
        <v>2421</v>
      </c>
      <c r="C772" s="47" t="s">
        <v>3766</v>
      </c>
      <c r="D772" s="15" t="s">
        <v>1298</v>
      </c>
      <c r="E772" s="68" t="s">
        <v>2</v>
      </c>
      <c r="F772" s="55" t="s">
        <v>1164</v>
      </c>
      <c r="G772" s="40" t="s">
        <v>2</v>
      </c>
      <c r="H772" s="71" t="s">
        <v>2745</v>
      </c>
      <c r="I772" s="67" t="s">
        <v>1414</v>
      </c>
      <c r="J772" s="73" t="s">
        <v>2312</v>
      </c>
      <c r="K772" s="4">
        <v>11000000</v>
      </c>
      <c r="L772" s="41">
        <v>97.257999999999996</v>
      </c>
      <c r="M772" s="4">
        <v>10698380</v>
      </c>
      <c r="N772" s="4">
        <v>11000000</v>
      </c>
      <c r="O772" s="4">
        <v>11000000</v>
      </c>
      <c r="P772" s="4">
        <v>0</v>
      </c>
      <c r="Q772" s="4">
        <v>0</v>
      </c>
      <c r="R772" s="4">
        <v>0</v>
      </c>
      <c r="S772" s="4">
        <v>0</v>
      </c>
      <c r="T772" s="23">
        <v>3.41</v>
      </c>
      <c r="U772" s="23">
        <v>3.41</v>
      </c>
      <c r="V772" s="5" t="s">
        <v>1916</v>
      </c>
      <c r="W772" s="4">
        <v>162543</v>
      </c>
      <c r="X772" s="4">
        <v>375100</v>
      </c>
      <c r="Y772" s="14">
        <v>42941</v>
      </c>
      <c r="Z772" s="14">
        <v>45498</v>
      </c>
      <c r="AA772" s="2"/>
      <c r="AB772" s="69" t="s">
        <v>2783</v>
      </c>
      <c r="AC772" s="5" t="s">
        <v>2</v>
      </c>
      <c r="AD772" s="2"/>
      <c r="AE772" s="10"/>
      <c r="AF772" s="23"/>
      <c r="AG772" s="10"/>
      <c r="AH772" s="5" t="s">
        <v>2128</v>
      </c>
      <c r="AI772" s="5" t="s">
        <v>1298</v>
      </c>
      <c r="AJ772" s="5" t="s">
        <v>2</v>
      </c>
      <c r="AK772" s="21" t="s">
        <v>2</v>
      </c>
      <c r="AL772" s="72" t="s">
        <v>3894</v>
      </c>
      <c r="AM772" s="54" t="s">
        <v>4179</v>
      </c>
      <c r="AN772" s="34" t="s">
        <v>2412</v>
      </c>
    </row>
    <row r="773" spans="2:40" x14ac:dyDescent="0.3">
      <c r="B773" s="18" t="s">
        <v>3548</v>
      </c>
      <c r="C773" s="47" t="s">
        <v>2422</v>
      </c>
      <c r="D773" s="15" t="s">
        <v>3256</v>
      </c>
      <c r="E773" s="68" t="s">
        <v>2</v>
      </c>
      <c r="F773" s="55" t="s">
        <v>1164</v>
      </c>
      <c r="G773" s="40" t="s">
        <v>2</v>
      </c>
      <c r="H773" s="71" t="s">
        <v>3894</v>
      </c>
      <c r="I773" s="67" t="s">
        <v>1164</v>
      </c>
      <c r="J773" s="73" t="s">
        <v>2312</v>
      </c>
      <c r="K773" s="4">
        <v>2131580</v>
      </c>
      <c r="L773" s="41">
        <v>98.825999999999993</v>
      </c>
      <c r="M773" s="4">
        <v>1976520</v>
      </c>
      <c r="N773" s="4">
        <v>2000000</v>
      </c>
      <c r="O773" s="4">
        <v>2026120</v>
      </c>
      <c r="P773" s="4">
        <v>0</v>
      </c>
      <c r="Q773" s="4">
        <v>-19977</v>
      </c>
      <c r="R773" s="4">
        <v>0</v>
      </c>
      <c r="S773" s="4">
        <v>0</v>
      </c>
      <c r="T773" s="23">
        <v>5</v>
      </c>
      <c r="U773" s="23">
        <v>3.92</v>
      </c>
      <c r="V773" s="5" t="s">
        <v>3895</v>
      </c>
      <c r="W773" s="4">
        <v>24722</v>
      </c>
      <c r="X773" s="4">
        <v>117000</v>
      </c>
      <c r="Y773" s="14">
        <v>42796</v>
      </c>
      <c r="Z773" s="14">
        <v>45384</v>
      </c>
      <c r="AA773" s="2"/>
      <c r="AB773" s="69" t="s">
        <v>2783</v>
      </c>
      <c r="AC773" s="5" t="s">
        <v>2</v>
      </c>
      <c r="AD773" s="2"/>
      <c r="AE773" s="10"/>
      <c r="AF773" s="23"/>
      <c r="AG773" s="10"/>
      <c r="AH773" s="5" t="s">
        <v>2</v>
      </c>
      <c r="AI773" s="5" t="s">
        <v>3256</v>
      </c>
      <c r="AJ773" s="5" t="s">
        <v>2</v>
      </c>
      <c r="AK773" s="21" t="s">
        <v>2</v>
      </c>
      <c r="AL773" s="72" t="s">
        <v>3894</v>
      </c>
      <c r="AM773" s="54" t="s">
        <v>4179</v>
      </c>
      <c r="AN773" s="34" t="s">
        <v>2883</v>
      </c>
    </row>
    <row r="774" spans="2:40" x14ac:dyDescent="0.3">
      <c r="B774" s="18" t="s">
        <v>154</v>
      </c>
      <c r="C774" s="47" t="s">
        <v>3549</v>
      </c>
      <c r="D774" s="15" t="s">
        <v>3256</v>
      </c>
      <c r="E774" s="68" t="s">
        <v>2</v>
      </c>
      <c r="F774" s="55" t="s">
        <v>1164</v>
      </c>
      <c r="G774" s="40" t="s">
        <v>2</v>
      </c>
      <c r="H774" s="71" t="s">
        <v>3894</v>
      </c>
      <c r="I774" s="67" t="s">
        <v>1164</v>
      </c>
      <c r="J774" s="73" t="s">
        <v>2312</v>
      </c>
      <c r="K774" s="4">
        <v>2000000</v>
      </c>
      <c r="L774" s="41">
        <v>95.649000000000001</v>
      </c>
      <c r="M774" s="4">
        <v>1912980</v>
      </c>
      <c r="N774" s="4">
        <v>2000000</v>
      </c>
      <c r="O774" s="4">
        <v>2000000</v>
      </c>
      <c r="P774" s="4">
        <v>0</v>
      </c>
      <c r="Q774" s="4">
        <v>0</v>
      </c>
      <c r="R774" s="4">
        <v>0</v>
      </c>
      <c r="S774" s="4">
        <v>0</v>
      </c>
      <c r="T774" s="23">
        <v>4.68</v>
      </c>
      <c r="U774" s="23">
        <v>4.68</v>
      </c>
      <c r="V774" s="5" t="s">
        <v>1916</v>
      </c>
      <c r="W774" s="4">
        <v>40560</v>
      </c>
      <c r="X774" s="4">
        <v>100600</v>
      </c>
      <c r="Y774" s="14">
        <v>43671</v>
      </c>
      <c r="Z774" s="14">
        <v>46593</v>
      </c>
      <c r="AA774" s="2"/>
      <c r="AB774" s="69" t="s">
        <v>2783</v>
      </c>
      <c r="AC774" s="5" t="s">
        <v>2</v>
      </c>
      <c r="AD774" s="2"/>
      <c r="AE774" s="10"/>
      <c r="AF774" s="23"/>
      <c r="AG774" s="10"/>
      <c r="AH774" s="5" t="s">
        <v>2</v>
      </c>
      <c r="AI774" s="5" t="s">
        <v>3256</v>
      </c>
      <c r="AJ774" s="5" t="s">
        <v>2</v>
      </c>
      <c r="AK774" s="21" t="s">
        <v>2</v>
      </c>
      <c r="AL774" s="72" t="s">
        <v>3894</v>
      </c>
      <c r="AM774" s="54" t="s">
        <v>4179</v>
      </c>
      <c r="AN774" s="34" t="s">
        <v>2883</v>
      </c>
    </row>
    <row r="775" spans="2:40" x14ac:dyDescent="0.3">
      <c r="B775" s="18" t="s">
        <v>1299</v>
      </c>
      <c r="C775" s="47" t="s">
        <v>389</v>
      </c>
      <c r="D775" s="15" t="s">
        <v>3550</v>
      </c>
      <c r="E775" s="68" t="s">
        <v>2</v>
      </c>
      <c r="F775" s="55" t="s">
        <v>1164</v>
      </c>
      <c r="G775" s="40" t="s">
        <v>2</v>
      </c>
      <c r="H775" s="71" t="s">
        <v>3894</v>
      </c>
      <c r="I775" s="67" t="s">
        <v>1164</v>
      </c>
      <c r="J775" s="73" t="s">
        <v>2</v>
      </c>
      <c r="K775" s="4">
        <v>4000000</v>
      </c>
      <c r="L775" s="41">
        <v>96.635999999999996</v>
      </c>
      <c r="M775" s="4">
        <v>3865440</v>
      </c>
      <c r="N775" s="4">
        <v>4000000</v>
      </c>
      <c r="O775" s="4">
        <v>4000000</v>
      </c>
      <c r="P775" s="4">
        <v>0</v>
      </c>
      <c r="Q775" s="4">
        <v>0</v>
      </c>
      <c r="R775" s="4">
        <v>0</v>
      </c>
      <c r="S775" s="4">
        <v>0</v>
      </c>
      <c r="T775" s="23">
        <v>3.88</v>
      </c>
      <c r="U775" s="23">
        <v>3.88</v>
      </c>
      <c r="V775" s="5" t="s">
        <v>3898</v>
      </c>
      <c r="W775" s="4">
        <v>10778</v>
      </c>
      <c r="X775" s="4">
        <v>155200</v>
      </c>
      <c r="Y775" s="14">
        <v>43075</v>
      </c>
      <c r="Z775" s="14">
        <v>45632</v>
      </c>
      <c r="AA775" s="2"/>
      <c r="AB775" s="69" t="s">
        <v>1671</v>
      </c>
      <c r="AC775" s="5" t="s">
        <v>2</v>
      </c>
      <c r="AD775" s="2"/>
      <c r="AE775" s="6"/>
      <c r="AF775" s="23"/>
      <c r="AG775" s="10"/>
      <c r="AH775" s="5" t="s">
        <v>2</v>
      </c>
      <c r="AI775" s="5" t="s">
        <v>3550</v>
      </c>
      <c r="AJ775" s="5" t="s">
        <v>2</v>
      </c>
      <c r="AK775" s="21" t="s">
        <v>2</v>
      </c>
      <c r="AL775" s="72" t="s">
        <v>3894</v>
      </c>
      <c r="AM775" s="54" t="s">
        <v>4179</v>
      </c>
      <c r="AN775" s="34" t="s">
        <v>2867</v>
      </c>
    </row>
    <row r="776" spans="2:40" x14ac:dyDescent="0.3">
      <c r="B776" s="18" t="s">
        <v>3257</v>
      </c>
      <c r="C776" s="47" t="s">
        <v>2906</v>
      </c>
      <c r="D776" s="15" t="s">
        <v>1300</v>
      </c>
      <c r="E776" s="68" t="s">
        <v>2</v>
      </c>
      <c r="F776" s="55" t="s">
        <v>1164</v>
      </c>
      <c r="G776" s="40" t="s">
        <v>2</v>
      </c>
      <c r="H776" s="71" t="s">
        <v>3894</v>
      </c>
      <c r="I776" s="67" t="s">
        <v>8</v>
      </c>
      <c r="J776" s="73" t="s">
        <v>2</v>
      </c>
      <c r="K776" s="4">
        <v>3009300</v>
      </c>
      <c r="L776" s="41">
        <v>98.55</v>
      </c>
      <c r="M776" s="4">
        <v>2956500</v>
      </c>
      <c r="N776" s="4">
        <v>3000000</v>
      </c>
      <c r="O776" s="4">
        <v>3006804</v>
      </c>
      <c r="P776" s="4">
        <v>0</v>
      </c>
      <c r="Q776" s="4">
        <v>-2496</v>
      </c>
      <c r="R776" s="4">
        <v>0</v>
      </c>
      <c r="S776" s="4">
        <v>0</v>
      </c>
      <c r="T776" s="23">
        <v>4.53</v>
      </c>
      <c r="U776" s="23">
        <v>4.3600000000000003</v>
      </c>
      <c r="V776" s="5" t="s">
        <v>3409</v>
      </c>
      <c r="W776" s="4">
        <v>15100</v>
      </c>
      <c r="X776" s="4">
        <v>67950</v>
      </c>
      <c r="Y776" s="14">
        <v>44715</v>
      </c>
      <c r="Z776" s="14">
        <v>45433</v>
      </c>
      <c r="AA776" s="2"/>
      <c r="AB776" s="69" t="s">
        <v>1671</v>
      </c>
      <c r="AC776" s="5" t="s">
        <v>2</v>
      </c>
      <c r="AD776" s="2"/>
      <c r="AE776" s="6"/>
      <c r="AF776" s="23"/>
      <c r="AG776" s="10"/>
      <c r="AH776" s="5" t="s">
        <v>2</v>
      </c>
      <c r="AI776" s="5" t="s">
        <v>1300</v>
      </c>
      <c r="AJ776" s="5" t="s">
        <v>2</v>
      </c>
      <c r="AK776" s="21" t="s">
        <v>2</v>
      </c>
      <c r="AL776" s="72" t="s">
        <v>3894</v>
      </c>
      <c r="AM776" s="54" t="s">
        <v>4179</v>
      </c>
      <c r="AN776" s="34" t="s">
        <v>1439</v>
      </c>
    </row>
    <row r="777" spans="2:40" x14ac:dyDescent="0.3">
      <c r="B777" s="18" t="s">
        <v>4397</v>
      </c>
      <c r="C777" s="47" t="s">
        <v>4398</v>
      </c>
      <c r="D777" s="15" t="s">
        <v>390</v>
      </c>
      <c r="E777" s="68" t="s">
        <v>2</v>
      </c>
      <c r="F777" s="55" t="s">
        <v>1164</v>
      </c>
      <c r="G777" s="40" t="s">
        <v>2</v>
      </c>
      <c r="H777" s="71" t="s">
        <v>3894</v>
      </c>
      <c r="I777" s="67" t="s">
        <v>1164</v>
      </c>
      <c r="J777" s="73" t="s">
        <v>2</v>
      </c>
      <c r="K777" s="4">
        <v>6000000</v>
      </c>
      <c r="L777" s="41">
        <v>88.600999999999999</v>
      </c>
      <c r="M777" s="4">
        <v>5316060</v>
      </c>
      <c r="N777" s="4">
        <v>6000000</v>
      </c>
      <c r="O777" s="4">
        <v>6000000</v>
      </c>
      <c r="P777" s="4">
        <v>0</v>
      </c>
      <c r="Q777" s="4">
        <v>0</v>
      </c>
      <c r="R777" s="4">
        <v>0</v>
      </c>
      <c r="S777" s="4">
        <v>0</v>
      </c>
      <c r="T777" s="23">
        <v>3.62</v>
      </c>
      <c r="U777" s="23">
        <v>3.62</v>
      </c>
      <c r="V777" s="5" t="s">
        <v>1916</v>
      </c>
      <c r="W777" s="4">
        <v>92913</v>
      </c>
      <c r="X777" s="4">
        <v>217200</v>
      </c>
      <c r="Y777" s="14">
        <v>44404</v>
      </c>
      <c r="Z777" s="14">
        <v>46961</v>
      </c>
      <c r="AA777" s="2"/>
      <c r="AB777" s="69" t="s">
        <v>1671</v>
      </c>
      <c r="AC777" s="5" t="s">
        <v>2</v>
      </c>
      <c r="AD777" s="2"/>
      <c r="AE777" s="10"/>
      <c r="AF777" s="23"/>
      <c r="AG777" s="10"/>
      <c r="AH777" s="5" t="s">
        <v>391</v>
      </c>
      <c r="AI777" s="5" t="s">
        <v>390</v>
      </c>
      <c r="AJ777" s="5" t="s">
        <v>2</v>
      </c>
      <c r="AK777" s="21" t="s">
        <v>2</v>
      </c>
      <c r="AL777" s="72" t="s">
        <v>3894</v>
      </c>
      <c r="AM777" s="54" t="s">
        <v>4179</v>
      </c>
      <c r="AN777" s="34" t="s">
        <v>2867</v>
      </c>
    </row>
    <row r="778" spans="2:40" x14ac:dyDescent="0.3">
      <c r="B778" s="18" t="s">
        <v>1003</v>
      </c>
      <c r="C778" s="47" t="s">
        <v>3258</v>
      </c>
      <c r="D778" s="15" t="s">
        <v>3767</v>
      </c>
      <c r="E778" s="68" t="s">
        <v>2</v>
      </c>
      <c r="F778" s="55" t="s">
        <v>1164</v>
      </c>
      <c r="G778" s="40" t="s">
        <v>2</v>
      </c>
      <c r="H778" s="71" t="s">
        <v>825</v>
      </c>
      <c r="I778" s="67" t="s">
        <v>1164</v>
      </c>
      <c r="J778" s="73" t="s">
        <v>2636</v>
      </c>
      <c r="K778" s="4">
        <v>1684210</v>
      </c>
      <c r="L778" s="41">
        <v>94.167000000000002</v>
      </c>
      <c r="M778" s="4">
        <v>1585970</v>
      </c>
      <c r="N778" s="4">
        <v>1684210</v>
      </c>
      <c r="O778" s="4">
        <v>1585970</v>
      </c>
      <c r="P778" s="4">
        <v>-98240</v>
      </c>
      <c r="Q778" s="4">
        <v>0</v>
      </c>
      <c r="R778" s="4">
        <v>0</v>
      </c>
      <c r="S778" s="4">
        <v>0</v>
      </c>
      <c r="T778" s="23">
        <v>2.4</v>
      </c>
      <c r="U778" s="23">
        <v>2.407</v>
      </c>
      <c r="V778" s="5" t="s">
        <v>3551</v>
      </c>
      <c r="W778" s="4">
        <v>8870</v>
      </c>
      <c r="X778" s="4">
        <v>40421</v>
      </c>
      <c r="Y778" s="14">
        <v>42837</v>
      </c>
      <c r="Z778" s="14">
        <v>46307</v>
      </c>
      <c r="AA778" s="2"/>
      <c r="AB778" s="69" t="s">
        <v>1671</v>
      </c>
      <c r="AC778" s="5" t="s">
        <v>2</v>
      </c>
      <c r="AD778" s="2"/>
      <c r="AE778" s="10"/>
      <c r="AF778" s="23"/>
      <c r="AG778" s="10"/>
      <c r="AH778" s="5" t="s">
        <v>2</v>
      </c>
      <c r="AI778" s="5" t="s">
        <v>1004</v>
      </c>
      <c r="AJ778" s="5" t="s">
        <v>3552</v>
      </c>
      <c r="AK778" s="21" t="s">
        <v>2</v>
      </c>
      <c r="AL778" s="72" t="s">
        <v>2745</v>
      </c>
      <c r="AM778" s="54" t="s">
        <v>4179</v>
      </c>
      <c r="AN778" s="34" t="s">
        <v>2423</v>
      </c>
    </row>
    <row r="779" spans="2:40" x14ac:dyDescent="0.3">
      <c r="B779" s="18" t="s">
        <v>2129</v>
      </c>
      <c r="C779" s="47" t="s">
        <v>2907</v>
      </c>
      <c r="D779" s="15" t="s">
        <v>155</v>
      </c>
      <c r="E779" s="68" t="s">
        <v>2</v>
      </c>
      <c r="F779" s="55" t="s">
        <v>1164</v>
      </c>
      <c r="G779" s="40" t="s">
        <v>2</v>
      </c>
      <c r="H779" s="71" t="s">
        <v>3894</v>
      </c>
      <c r="I779" s="67" t="s">
        <v>8</v>
      </c>
      <c r="J779" s="73" t="s">
        <v>270</v>
      </c>
      <c r="K779" s="4">
        <v>10000000</v>
      </c>
      <c r="L779" s="41">
        <v>96.885000000000005</v>
      </c>
      <c r="M779" s="4">
        <v>9688500</v>
      </c>
      <c r="N779" s="4">
        <v>10000000</v>
      </c>
      <c r="O779" s="4">
        <v>10000000</v>
      </c>
      <c r="P779" s="4">
        <v>0</v>
      </c>
      <c r="Q779" s="4">
        <v>0</v>
      </c>
      <c r="R779" s="4">
        <v>0</v>
      </c>
      <c r="S779" s="4">
        <v>0</v>
      </c>
      <c r="T779" s="23">
        <v>3.66</v>
      </c>
      <c r="U779" s="23">
        <v>3.661</v>
      </c>
      <c r="V779" s="5" t="s">
        <v>3898</v>
      </c>
      <c r="W779" s="4">
        <v>11183</v>
      </c>
      <c r="X779" s="4">
        <v>366000</v>
      </c>
      <c r="Y779" s="14">
        <v>43039</v>
      </c>
      <c r="Z779" s="14">
        <v>45596</v>
      </c>
      <c r="AA779" s="2"/>
      <c r="AB779" s="69" t="s">
        <v>2783</v>
      </c>
      <c r="AC779" s="5" t="s">
        <v>2</v>
      </c>
      <c r="AD779" s="2"/>
      <c r="AE779" s="10"/>
      <c r="AF779" s="23"/>
      <c r="AG779" s="10"/>
      <c r="AH779" s="5" t="s">
        <v>2</v>
      </c>
      <c r="AI779" s="5" t="s">
        <v>155</v>
      </c>
      <c r="AJ779" s="5" t="s">
        <v>2</v>
      </c>
      <c r="AK779" s="21" t="s">
        <v>2</v>
      </c>
      <c r="AL779" s="72" t="s">
        <v>2745</v>
      </c>
      <c r="AM779" s="54" t="s">
        <v>4179</v>
      </c>
      <c r="AN779" s="34" t="s">
        <v>1189</v>
      </c>
    </row>
    <row r="780" spans="2:40" x14ac:dyDescent="0.3">
      <c r="B780" s="18" t="s">
        <v>3553</v>
      </c>
      <c r="C780" s="47" t="s">
        <v>1005</v>
      </c>
      <c r="D780" s="15" t="s">
        <v>4042</v>
      </c>
      <c r="E780" s="68" t="s">
        <v>2</v>
      </c>
      <c r="F780" s="55" t="s">
        <v>1164</v>
      </c>
      <c r="G780" s="40" t="s">
        <v>2</v>
      </c>
      <c r="H780" s="71" t="s">
        <v>3894</v>
      </c>
      <c r="I780" s="67" t="s">
        <v>3408</v>
      </c>
      <c r="J780" s="73" t="s">
        <v>2</v>
      </c>
      <c r="K780" s="4">
        <v>5000000</v>
      </c>
      <c r="L780" s="41">
        <v>99.576999999999998</v>
      </c>
      <c r="M780" s="4">
        <v>4978850</v>
      </c>
      <c r="N780" s="4">
        <v>5000000</v>
      </c>
      <c r="O780" s="4">
        <v>5000000</v>
      </c>
      <c r="P780" s="4">
        <v>0</v>
      </c>
      <c r="Q780" s="4">
        <v>0</v>
      </c>
      <c r="R780" s="4">
        <v>0</v>
      </c>
      <c r="S780" s="4">
        <v>0</v>
      </c>
      <c r="T780" s="23">
        <v>3.38</v>
      </c>
      <c r="U780" s="23">
        <v>3.38</v>
      </c>
      <c r="V780" s="5" t="s">
        <v>10</v>
      </c>
      <c r="W780" s="4">
        <v>46475</v>
      </c>
      <c r="X780" s="4">
        <v>169000</v>
      </c>
      <c r="Y780" s="14">
        <v>43181</v>
      </c>
      <c r="Z780" s="14">
        <v>45007</v>
      </c>
      <c r="AA780" s="2"/>
      <c r="AB780" s="69" t="s">
        <v>1671</v>
      </c>
      <c r="AC780" s="5" t="s">
        <v>2</v>
      </c>
      <c r="AD780" s="2"/>
      <c r="AE780" s="10"/>
      <c r="AF780" s="23"/>
      <c r="AG780" s="10"/>
      <c r="AH780" s="5" t="s">
        <v>3768</v>
      </c>
      <c r="AI780" s="5" t="s">
        <v>2424</v>
      </c>
      <c r="AJ780" s="5" t="s">
        <v>3554</v>
      </c>
      <c r="AK780" s="21" t="s">
        <v>2</v>
      </c>
      <c r="AL780" s="72" t="s">
        <v>2745</v>
      </c>
      <c r="AM780" s="54" t="s">
        <v>4179</v>
      </c>
      <c r="AN780" s="34" t="s">
        <v>317</v>
      </c>
    </row>
    <row r="781" spans="2:40" x14ac:dyDescent="0.3">
      <c r="B781" s="18" t="s">
        <v>156</v>
      </c>
      <c r="C781" s="47" t="s">
        <v>1006</v>
      </c>
      <c r="D781" s="15" t="s">
        <v>4042</v>
      </c>
      <c r="E781" s="68" t="s">
        <v>2</v>
      </c>
      <c r="F781" s="55" t="s">
        <v>1164</v>
      </c>
      <c r="G781" s="40" t="s">
        <v>2</v>
      </c>
      <c r="H781" s="71" t="s">
        <v>3894</v>
      </c>
      <c r="I781" s="67" t="s">
        <v>3408</v>
      </c>
      <c r="J781" s="73" t="s">
        <v>2636</v>
      </c>
      <c r="K781" s="4">
        <v>10677738</v>
      </c>
      <c r="L781" s="41">
        <v>96.662999999999997</v>
      </c>
      <c r="M781" s="4">
        <v>10536260</v>
      </c>
      <c r="N781" s="4">
        <v>10900000</v>
      </c>
      <c r="O781" s="4">
        <v>10688686</v>
      </c>
      <c r="P781" s="4">
        <v>0</v>
      </c>
      <c r="Q781" s="4">
        <v>10946</v>
      </c>
      <c r="R781" s="4">
        <v>0</v>
      </c>
      <c r="S781" s="4">
        <v>0</v>
      </c>
      <c r="T781" s="23">
        <v>3.57</v>
      </c>
      <c r="U781" s="23">
        <v>4.4820000000000002</v>
      </c>
      <c r="V781" s="5" t="s">
        <v>10</v>
      </c>
      <c r="W781" s="4">
        <v>107010</v>
      </c>
      <c r="X781" s="4">
        <v>249900</v>
      </c>
      <c r="Y781" s="14">
        <v>44867</v>
      </c>
      <c r="Z781" s="14">
        <v>45738</v>
      </c>
      <c r="AA781" s="2"/>
      <c r="AB781" s="69" t="s">
        <v>1671</v>
      </c>
      <c r="AC781" s="5" t="s">
        <v>2</v>
      </c>
      <c r="AD781" s="2"/>
      <c r="AE781" s="10"/>
      <c r="AF781" s="23"/>
      <c r="AG781" s="10"/>
      <c r="AH781" s="5" t="s">
        <v>3768</v>
      </c>
      <c r="AI781" s="5" t="s">
        <v>2424</v>
      </c>
      <c r="AJ781" s="5" t="s">
        <v>3554</v>
      </c>
      <c r="AK781" s="21" t="s">
        <v>2</v>
      </c>
      <c r="AL781" s="72" t="s">
        <v>2745</v>
      </c>
      <c r="AM781" s="54" t="s">
        <v>4179</v>
      </c>
      <c r="AN781" s="34" t="s">
        <v>3769</v>
      </c>
    </row>
    <row r="782" spans="2:40" x14ac:dyDescent="0.3">
      <c r="B782" s="18" t="s">
        <v>1301</v>
      </c>
      <c r="C782" s="47" t="s">
        <v>3555</v>
      </c>
      <c r="D782" s="15" t="s">
        <v>3556</v>
      </c>
      <c r="E782" s="68" t="s">
        <v>2</v>
      </c>
      <c r="F782" s="55" t="s">
        <v>1164</v>
      </c>
      <c r="G782" s="40" t="s">
        <v>2</v>
      </c>
      <c r="H782" s="71" t="s">
        <v>3894</v>
      </c>
      <c r="I782" s="67" t="s">
        <v>1164</v>
      </c>
      <c r="J782" s="73" t="s">
        <v>2</v>
      </c>
      <c r="K782" s="4">
        <v>2000000</v>
      </c>
      <c r="L782" s="41">
        <v>93.775999999999996</v>
      </c>
      <c r="M782" s="4">
        <v>1875520</v>
      </c>
      <c r="N782" s="4">
        <v>2000000</v>
      </c>
      <c r="O782" s="4">
        <v>2000000</v>
      </c>
      <c r="P782" s="4">
        <v>0</v>
      </c>
      <c r="Q782" s="4">
        <v>0</v>
      </c>
      <c r="R782" s="4">
        <v>0</v>
      </c>
      <c r="S782" s="4">
        <v>0</v>
      </c>
      <c r="T782" s="23">
        <v>3.89</v>
      </c>
      <c r="U782" s="23">
        <v>3.89</v>
      </c>
      <c r="V782" s="5" t="s">
        <v>3898</v>
      </c>
      <c r="W782" s="4">
        <v>2593</v>
      </c>
      <c r="X782" s="4">
        <v>77800</v>
      </c>
      <c r="Y782" s="14">
        <v>44186</v>
      </c>
      <c r="Z782" s="14">
        <v>46192</v>
      </c>
      <c r="AA782" s="2"/>
      <c r="AB782" s="69" t="s">
        <v>1671</v>
      </c>
      <c r="AC782" s="5" t="s">
        <v>2</v>
      </c>
      <c r="AD782" s="2"/>
      <c r="AE782" s="10"/>
      <c r="AF782" s="23"/>
      <c r="AG782" s="10"/>
      <c r="AH782" s="5" t="s">
        <v>2</v>
      </c>
      <c r="AI782" s="5" t="s">
        <v>3770</v>
      </c>
      <c r="AJ782" s="5" t="s">
        <v>3771</v>
      </c>
      <c r="AK782" s="21" t="s">
        <v>2</v>
      </c>
      <c r="AL782" s="72" t="s">
        <v>825</v>
      </c>
      <c r="AM782" s="54" t="s">
        <v>4179</v>
      </c>
      <c r="AN782" s="34" t="s">
        <v>2867</v>
      </c>
    </row>
    <row r="783" spans="2:40" x14ac:dyDescent="0.3">
      <c r="B783" s="18" t="s">
        <v>2425</v>
      </c>
      <c r="C783" s="47" t="s">
        <v>647</v>
      </c>
      <c r="D783" s="15" t="s">
        <v>4399</v>
      </c>
      <c r="E783" s="68" t="s">
        <v>2</v>
      </c>
      <c r="F783" s="55" t="s">
        <v>1164</v>
      </c>
      <c r="G783" s="40" t="s">
        <v>2</v>
      </c>
      <c r="H783" s="71" t="s">
        <v>2745</v>
      </c>
      <c r="I783" s="67" t="s">
        <v>1414</v>
      </c>
      <c r="J783" s="73" t="s">
        <v>2</v>
      </c>
      <c r="K783" s="4">
        <v>3078630</v>
      </c>
      <c r="L783" s="41">
        <v>81.72</v>
      </c>
      <c r="M783" s="4">
        <v>2451600</v>
      </c>
      <c r="N783" s="4">
        <v>3000000</v>
      </c>
      <c r="O783" s="4">
        <v>3068917</v>
      </c>
      <c r="P783" s="4">
        <v>0</v>
      </c>
      <c r="Q783" s="4">
        <v>-6440</v>
      </c>
      <c r="R783" s="4">
        <v>0</v>
      </c>
      <c r="S783" s="4">
        <v>0</v>
      </c>
      <c r="T783" s="23">
        <v>2.73</v>
      </c>
      <c r="U783" s="23">
        <v>2.4550000000000001</v>
      </c>
      <c r="V783" s="5" t="s">
        <v>3409</v>
      </c>
      <c r="W783" s="4">
        <v>7735</v>
      </c>
      <c r="X783" s="4">
        <v>81900</v>
      </c>
      <c r="Y783" s="14">
        <v>44357</v>
      </c>
      <c r="Z783" s="14">
        <v>48361</v>
      </c>
      <c r="AA783" s="2"/>
      <c r="AB783" s="69" t="s">
        <v>1671</v>
      </c>
      <c r="AC783" s="5" t="s">
        <v>2</v>
      </c>
      <c r="AD783" s="2"/>
      <c r="AE783" s="10"/>
      <c r="AF783" s="23"/>
      <c r="AG783" s="10"/>
      <c r="AH783" s="5" t="s">
        <v>2</v>
      </c>
      <c r="AI783" s="5" t="s">
        <v>4399</v>
      </c>
      <c r="AJ783" s="5" t="s">
        <v>2</v>
      </c>
      <c r="AK783" s="21" t="s">
        <v>2</v>
      </c>
      <c r="AL783" s="72" t="s">
        <v>3894</v>
      </c>
      <c r="AM783" s="54" t="s">
        <v>4179</v>
      </c>
      <c r="AN783" s="34" t="s">
        <v>541</v>
      </c>
    </row>
    <row r="784" spans="2:40" x14ac:dyDescent="0.3">
      <c r="B784" s="18" t="s">
        <v>3557</v>
      </c>
      <c r="C784" s="47" t="s">
        <v>1302</v>
      </c>
      <c r="D784" s="15" t="s">
        <v>1303</v>
      </c>
      <c r="E784" s="68" t="s">
        <v>2</v>
      </c>
      <c r="F784" s="55" t="s">
        <v>1164</v>
      </c>
      <c r="G784" s="40" t="s">
        <v>2</v>
      </c>
      <c r="H784" s="71" t="s">
        <v>3894</v>
      </c>
      <c r="I784" s="67" t="s">
        <v>1164</v>
      </c>
      <c r="J784" s="73" t="s">
        <v>2312</v>
      </c>
      <c r="K784" s="4">
        <v>3000000</v>
      </c>
      <c r="L784" s="41">
        <v>84.216999999999999</v>
      </c>
      <c r="M784" s="4">
        <v>2526510</v>
      </c>
      <c r="N784" s="4">
        <v>3000000</v>
      </c>
      <c r="O784" s="4">
        <v>3000000</v>
      </c>
      <c r="P784" s="4">
        <v>0</v>
      </c>
      <c r="Q784" s="4">
        <v>0</v>
      </c>
      <c r="R784" s="4">
        <v>0</v>
      </c>
      <c r="S784" s="4">
        <v>0</v>
      </c>
      <c r="T784" s="23">
        <v>2.89</v>
      </c>
      <c r="U784" s="23">
        <v>2.89</v>
      </c>
      <c r="V784" s="5" t="s">
        <v>1916</v>
      </c>
      <c r="W784" s="4">
        <v>40701</v>
      </c>
      <c r="X784" s="4">
        <v>43350</v>
      </c>
      <c r="Y784" s="14">
        <v>44573</v>
      </c>
      <c r="Z784" s="14">
        <v>47130</v>
      </c>
      <c r="AA784" s="2"/>
      <c r="AB784" s="69" t="s">
        <v>2783</v>
      </c>
      <c r="AC784" s="5" t="s">
        <v>2</v>
      </c>
      <c r="AD784" s="2"/>
      <c r="AE784" s="10"/>
      <c r="AF784" s="23"/>
      <c r="AG784" s="10"/>
      <c r="AH784" s="5" t="s">
        <v>392</v>
      </c>
      <c r="AI784" s="5" t="s">
        <v>1303</v>
      </c>
      <c r="AJ784" s="5" t="s">
        <v>2</v>
      </c>
      <c r="AK784" s="21" t="s">
        <v>2</v>
      </c>
      <c r="AL784" s="72" t="s">
        <v>3894</v>
      </c>
      <c r="AM784" s="54" t="s">
        <v>4179</v>
      </c>
      <c r="AN784" s="34" t="s">
        <v>2883</v>
      </c>
    </row>
    <row r="785" spans="2:40" x14ac:dyDescent="0.3">
      <c r="B785" s="18" t="s">
        <v>157</v>
      </c>
      <c r="C785" s="47" t="s">
        <v>4400</v>
      </c>
      <c r="D785" s="15" t="s">
        <v>1304</v>
      </c>
      <c r="E785" s="68" t="s">
        <v>2</v>
      </c>
      <c r="F785" s="55" t="s">
        <v>1164</v>
      </c>
      <c r="G785" s="40" t="s">
        <v>2</v>
      </c>
      <c r="H785" s="71" t="s">
        <v>3894</v>
      </c>
      <c r="I785" s="67" t="s">
        <v>1164</v>
      </c>
      <c r="J785" s="73" t="s">
        <v>2312</v>
      </c>
      <c r="K785" s="4">
        <v>4000000</v>
      </c>
      <c r="L785" s="41">
        <v>84.293000000000006</v>
      </c>
      <c r="M785" s="4">
        <v>3371720</v>
      </c>
      <c r="N785" s="4">
        <v>4000000</v>
      </c>
      <c r="O785" s="4">
        <v>4000000</v>
      </c>
      <c r="P785" s="4">
        <v>0</v>
      </c>
      <c r="Q785" s="4">
        <v>0</v>
      </c>
      <c r="R785" s="4">
        <v>0</v>
      </c>
      <c r="S785" s="4">
        <v>0</v>
      </c>
      <c r="T785" s="23">
        <v>2.83</v>
      </c>
      <c r="U785" s="23">
        <v>2.83</v>
      </c>
      <c r="V785" s="5" t="s">
        <v>3409</v>
      </c>
      <c r="W785" s="4">
        <v>16666</v>
      </c>
      <c r="X785" s="4">
        <v>113200</v>
      </c>
      <c r="Y785" s="14">
        <v>44508</v>
      </c>
      <c r="Z785" s="14">
        <v>47065</v>
      </c>
      <c r="AA785" s="2"/>
      <c r="AB785" s="69" t="s">
        <v>2783</v>
      </c>
      <c r="AC785" s="5" t="s">
        <v>2</v>
      </c>
      <c r="AD785" s="2"/>
      <c r="AE785" s="10"/>
      <c r="AF785" s="23"/>
      <c r="AG785" s="10"/>
      <c r="AH785" s="5" t="s">
        <v>2</v>
      </c>
      <c r="AI785" s="5" t="s">
        <v>1304</v>
      </c>
      <c r="AJ785" s="5" t="s">
        <v>2</v>
      </c>
      <c r="AK785" s="21" t="s">
        <v>2</v>
      </c>
      <c r="AL785" s="72" t="s">
        <v>3894</v>
      </c>
      <c r="AM785" s="54" t="s">
        <v>4179</v>
      </c>
      <c r="AN785" s="34" t="s">
        <v>2883</v>
      </c>
    </row>
    <row r="786" spans="2:40" x14ac:dyDescent="0.3">
      <c r="B786" s="18" t="s">
        <v>2130</v>
      </c>
      <c r="C786" s="47" t="s">
        <v>4043</v>
      </c>
      <c r="D786" s="15" t="s">
        <v>1304</v>
      </c>
      <c r="E786" s="68" t="s">
        <v>2</v>
      </c>
      <c r="F786" s="55" t="s">
        <v>1164</v>
      </c>
      <c r="G786" s="40" t="s">
        <v>2</v>
      </c>
      <c r="H786" s="71" t="s">
        <v>3894</v>
      </c>
      <c r="I786" s="67" t="s">
        <v>1164</v>
      </c>
      <c r="J786" s="73" t="s">
        <v>2312</v>
      </c>
      <c r="K786" s="4">
        <v>4000000</v>
      </c>
      <c r="L786" s="41">
        <v>80.013000000000005</v>
      </c>
      <c r="M786" s="4">
        <v>3200520</v>
      </c>
      <c r="N786" s="4">
        <v>4000000</v>
      </c>
      <c r="O786" s="4">
        <v>4000000</v>
      </c>
      <c r="P786" s="4">
        <v>0</v>
      </c>
      <c r="Q786" s="4">
        <v>0</v>
      </c>
      <c r="R786" s="4">
        <v>0</v>
      </c>
      <c r="S786" s="4">
        <v>0</v>
      </c>
      <c r="T786" s="23">
        <v>3.06</v>
      </c>
      <c r="U786" s="23">
        <v>3.06</v>
      </c>
      <c r="V786" s="5" t="s">
        <v>268</v>
      </c>
      <c r="W786" s="4">
        <v>46580</v>
      </c>
      <c r="X786" s="4">
        <v>61200</v>
      </c>
      <c r="Y786" s="14">
        <v>44606</v>
      </c>
      <c r="Z786" s="14">
        <v>47893</v>
      </c>
      <c r="AA786" s="2"/>
      <c r="AB786" s="69" t="s">
        <v>2783</v>
      </c>
      <c r="AC786" s="5" t="s">
        <v>2</v>
      </c>
      <c r="AD786" s="2"/>
      <c r="AE786" s="10"/>
      <c r="AF786" s="23"/>
      <c r="AG786" s="10"/>
      <c r="AH786" s="5" t="s">
        <v>2</v>
      </c>
      <c r="AI786" s="5" t="s">
        <v>1304</v>
      </c>
      <c r="AJ786" s="5" t="s">
        <v>2</v>
      </c>
      <c r="AK786" s="21" t="s">
        <v>2</v>
      </c>
      <c r="AL786" s="72" t="s">
        <v>3894</v>
      </c>
      <c r="AM786" s="54" t="s">
        <v>4179</v>
      </c>
      <c r="AN786" s="34" t="s">
        <v>2883</v>
      </c>
    </row>
    <row r="787" spans="2:40" x14ac:dyDescent="0.3">
      <c r="B787" s="18" t="s">
        <v>3259</v>
      </c>
      <c r="C787" s="47" t="s">
        <v>393</v>
      </c>
      <c r="D787" s="15" t="s">
        <v>1786</v>
      </c>
      <c r="E787" s="68" t="s">
        <v>2</v>
      </c>
      <c r="F787" s="55" t="s">
        <v>1164</v>
      </c>
      <c r="G787" s="40" t="s">
        <v>2</v>
      </c>
      <c r="H787" s="71" t="s">
        <v>3894</v>
      </c>
      <c r="I787" s="67" t="s">
        <v>8</v>
      </c>
      <c r="J787" s="73" t="s">
        <v>270</v>
      </c>
      <c r="K787" s="4">
        <v>7000000</v>
      </c>
      <c r="L787" s="41">
        <v>85.337999999999994</v>
      </c>
      <c r="M787" s="4">
        <v>5973660</v>
      </c>
      <c r="N787" s="4">
        <v>7000000</v>
      </c>
      <c r="O787" s="4">
        <v>7000000</v>
      </c>
      <c r="P787" s="4">
        <v>0</v>
      </c>
      <c r="Q787" s="4">
        <v>0</v>
      </c>
      <c r="R787" s="4">
        <v>0</v>
      </c>
      <c r="S787" s="4">
        <v>0</v>
      </c>
      <c r="T787" s="23">
        <v>2.3199999999999998</v>
      </c>
      <c r="U787" s="23">
        <v>2.3199999999999998</v>
      </c>
      <c r="V787" s="5" t="s">
        <v>10</v>
      </c>
      <c r="W787" s="4">
        <v>44209</v>
      </c>
      <c r="X787" s="4">
        <v>208800</v>
      </c>
      <c r="Y787" s="14">
        <v>44278</v>
      </c>
      <c r="Z787" s="14">
        <v>46835</v>
      </c>
      <c r="AA787" s="2"/>
      <c r="AB787" s="69" t="s">
        <v>2783</v>
      </c>
      <c r="AC787" s="5" t="s">
        <v>2</v>
      </c>
      <c r="AD787" s="2"/>
      <c r="AE787" s="6"/>
      <c r="AF787" s="23"/>
      <c r="AG787" s="10"/>
      <c r="AH787" s="5" t="s">
        <v>3772</v>
      </c>
      <c r="AI787" s="5" t="s">
        <v>1786</v>
      </c>
      <c r="AJ787" s="5" t="s">
        <v>2</v>
      </c>
      <c r="AK787" s="21" t="s">
        <v>2</v>
      </c>
      <c r="AL787" s="72" t="s">
        <v>2745</v>
      </c>
      <c r="AM787" s="54" t="s">
        <v>4179</v>
      </c>
      <c r="AN787" s="34" t="s">
        <v>1189</v>
      </c>
    </row>
    <row r="788" spans="2:40" x14ac:dyDescent="0.3">
      <c r="B788" s="18" t="s">
        <v>4401</v>
      </c>
      <c r="C788" s="47" t="s">
        <v>394</v>
      </c>
      <c r="D788" s="15" t="s">
        <v>1786</v>
      </c>
      <c r="E788" s="68" t="s">
        <v>2</v>
      </c>
      <c r="F788" s="55" t="s">
        <v>1164</v>
      </c>
      <c r="G788" s="40" t="s">
        <v>2</v>
      </c>
      <c r="H788" s="71" t="s">
        <v>3894</v>
      </c>
      <c r="I788" s="67" t="s">
        <v>8</v>
      </c>
      <c r="J788" s="73" t="s">
        <v>270</v>
      </c>
      <c r="K788" s="4">
        <v>6000000</v>
      </c>
      <c r="L788" s="41">
        <v>81.566999999999993</v>
      </c>
      <c r="M788" s="4">
        <v>4894020</v>
      </c>
      <c r="N788" s="4">
        <v>6000000</v>
      </c>
      <c r="O788" s="4">
        <v>6000000</v>
      </c>
      <c r="P788" s="4">
        <v>0</v>
      </c>
      <c r="Q788" s="4">
        <v>0</v>
      </c>
      <c r="R788" s="4">
        <v>0</v>
      </c>
      <c r="S788" s="4">
        <v>0</v>
      </c>
      <c r="T788" s="23">
        <v>2.59</v>
      </c>
      <c r="U788" s="23">
        <v>2.59</v>
      </c>
      <c r="V788" s="5" t="s">
        <v>10</v>
      </c>
      <c r="W788" s="4">
        <v>42303</v>
      </c>
      <c r="X788" s="4">
        <v>155400</v>
      </c>
      <c r="Y788" s="14">
        <v>44278</v>
      </c>
      <c r="Z788" s="14">
        <v>47565</v>
      </c>
      <c r="AA788" s="2"/>
      <c r="AB788" s="69" t="s">
        <v>2783</v>
      </c>
      <c r="AC788" s="5" t="s">
        <v>2</v>
      </c>
      <c r="AD788" s="2"/>
      <c r="AE788" s="6"/>
      <c r="AF788" s="23"/>
      <c r="AG788" s="10"/>
      <c r="AH788" s="5" t="s">
        <v>3772</v>
      </c>
      <c r="AI788" s="5" t="s">
        <v>1786</v>
      </c>
      <c r="AJ788" s="5" t="s">
        <v>2</v>
      </c>
      <c r="AK788" s="21" t="s">
        <v>2</v>
      </c>
      <c r="AL788" s="72" t="s">
        <v>2745</v>
      </c>
      <c r="AM788" s="54" t="s">
        <v>4179</v>
      </c>
      <c r="AN788" s="34" t="s">
        <v>1189</v>
      </c>
    </row>
    <row r="789" spans="2:40" x14ac:dyDescent="0.3">
      <c r="B789" s="18" t="s">
        <v>1305</v>
      </c>
      <c r="C789" s="47" t="s">
        <v>3558</v>
      </c>
      <c r="D789" s="15" t="s">
        <v>1510</v>
      </c>
      <c r="E789" s="68" t="s">
        <v>2</v>
      </c>
      <c r="F789" s="55" t="s">
        <v>1164</v>
      </c>
      <c r="G789" s="40" t="s">
        <v>2</v>
      </c>
      <c r="H789" s="71" t="s">
        <v>3894</v>
      </c>
      <c r="I789" s="67" t="s">
        <v>8</v>
      </c>
      <c r="J789" s="73" t="s">
        <v>2312</v>
      </c>
      <c r="K789" s="4">
        <v>4988873</v>
      </c>
      <c r="L789" s="41">
        <v>83.087000000000003</v>
      </c>
      <c r="M789" s="4">
        <v>4145105</v>
      </c>
      <c r="N789" s="4">
        <v>4988874</v>
      </c>
      <c r="O789" s="4">
        <v>4988873</v>
      </c>
      <c r="P789" s="4">
        <v>0</v>
      </c>
      <c r="Q789" s="4">
        <v>0</v>
      </c>
      <c r="R789" s="4">
        <v>0</v>
      </c>
      <c r="S789" s="4">
        <v>0</v>
      </c>
      <c r="T789" s="23">
        <v>3.11</v>
      </c>
      <c r="U789" s="23">
        <v>3.1219999999999999</v>
      </c>
      <c r="V789" s="5" t="s">
        <v>329</v>
      </c>
      <c r="W789" s="4">
        <v>431</v>
      </c>
      <c r="X789" s="4">
        <v>155154</v>
      </c>
      <c r="Y789" s="14">
        <v>44398</v>
      </c>
      <c r="Z789" s="14">
        <v>49309</v>
      </c>
      <c r="AA789" s="2"/>
      <c r="AB789" s="69" t="s">
        <v>1671</v>
      </c>
      <c r="AC789" s="5" t="s">
        <v>2</v>
      </c>
      <c r="AD789" s="2"/>
      <c r="AE789" s="10"/>
      <c r="AF789" s="23"/>
      <c r="AG789" s="10"/>
      <c r="AH789" s="5" t="s">
        <v>4044</v>
      </c>
      <c r="AI789" s="5" t="s">
        <v>1510</v>
      </c>
      <c r="AJ789" s="5" t="s">
        <v>2</v>
      </c>
      <c r="AK789" s="21" t="s">
        <v>2</v>
      </c>
      <c r="AL789" s="72" t="s">
        <v>2745</v>
      </c>
      <c r="AM789" s="54" t="s">
        <v>4179</v>
      </c>
      <c r="AN789" s="34" t="s">
        <v>3085</v>
      </c>
    </row>
    <row r="790" spans="2:40" x14ac:dyDescent="0.3">
      <c r="B790" s="18" t="s">
        <v>2426</v>
      </c>
      <c r="C790" s="47" t="s">
        <v>2427</v>
      </c>
      <c r="D790" s="15" t="s">
        <v>395</v>
      </c>
      <c r="E790" s="68" t="s">
        <v>2</v>
      </c>
      <c r="F790" s="55" t="s">
        <v>1164</v>
      </c>
      <c r="G790" s="40" t="s">
        <v>2</v>
      </c>
      <c r="H790" s="71" t="s">
        <v>3894</v>
      </c>
      <c r="I790" s="67" t="s">
        <v>8</v>
      </c>
      <c r="J790" s="73" t="s">
        <v>270</v>
      </c>
      <c r="K790" s="4">
        <v>10000000</v>
      </c>
      <c r="L790" s="41">
        <v>76.820999999999998</v>
      </c>
      <c r="M790" s="4">
        <v>7682100</v>
      </c>
      <c r="N790" s="4">
        <v>10000000</v>
      </c>
      <c r="O790" s="4">
        <v>10000000</v>
      </c>
      <c r="P790" s="4">
        <v>0</v>
      </c>
      <c r="Q790" s="4">
        <v>0</v>
      </c>
      <c r="R790" s="4">
        <v>0</v>
      </c>
      <c r="S790" s="4">
        <v>0</v>
      </c>
      <c r="T790" s="23">
        <v>2.41</v>
      </c>
      <c r="U790" s="23">
        <v>2.41</v>
      </c>
      <c r="V790" s="5" t="s">
        <v>10</v>
      </c>
      <c r="W790" s="4">
        <v>70961</v>
      </c>
      <c r="X790" s="4">
        <v>120500</v>
      </c>
      <c r="Y790" s="14">
        <v>44635</v>
      </c>
      <c r="Z790" s="14">
        <v>48288</v>
      </c>
      <c r="AA790" s="2"/>
      <c r="AB790" s="69" t="s">
        <v>1671</v>
      </c>
      <c r="AC790" s="5" t="s">
        <v>2</v>
      </c>
      <c r="AD790" s="2"/>
      <c r="AE790" s="10"/>
      <c r="AF790" s="23"/>
      <c r="AG790" s="10"/>
      <c r="AH790" s="5" t="s">
        <v>3260</v>
      </c>
      <c r="AI790" s="5" t="s">
        <v>158</v>
      </c>
      <c r="AJ790" s="5" t="s">
        <v>3261</v>
      </c>
      <c r="AK790" s="21" t="s">
        <v>2</v>
      </c>
      <c r="AL790" s="72" t="s">
        <v>2745</v>
      </c>
      <c r="AM790" s="54" t="s">
        <v>4179</v>
      </c>
      <c r="AN790" s="34" t="s">
        <v>1189</v>
      </c>
    </row>
    <row r="791" spans="2:40" x14ac:dyDescent="0.3">
      <c r="B791" s="18" t="s">
        <v>3559</v>
      </c>
      <c r="C791" s="47" t="s">
        <v>1306</v>
      </c>
      <c r="D791" s="15" t="s">
        <v>1307</v>
      </c>
      <c r="E791" s="68" t="s">
        <v>2</v>
      </c>
      <c r="F791" s="55" t="s">
        <v>1164</v>
      </c>
      <c r="G791" s="40" t="s">
        <v>2745</v>
      </c>
      <c r="H791" s="71" t="s">
        <v>3894</v>
      </c>
      <c r="I791" s="67" t="s">
        <v>1164</v>
      </c>
      <c r="J791" s="73" t="s">
        <v>270</v>
      </c>
      <c r="K791" s="4">
        <v>5321750</v>
      </c>
      <c r="L791" s="41">
        <v>90.177000000000007</v>
      </c>
      <c r="M791" s="4">
        <v>4508850</v>
      </c>
      <c r="N791" s="4">
        <v>5000000</v>
      </c>
      <c r="O791" s="4">
        <v>5230404</v>
      </c>
      <c r="P791" s="4">
        <v>0</v>
      </c>
      <c r="Q791" s="4">
        <v>-47641</v>
      </c>
      <c r="R791" s="4">
        <v>0</v>
      </c>
      <c r="S791" s="4">
        <v>0</v>
      </c>
      <c r="T791" s="23">
        <v>4.125</v>
      </c>
      <c r="U791" s="23">
        <v>3.012</v>
      </c>
      <c r="V791" s="5" t="s">
        <v>10</v>
      </c>
      <c r="W791" s="4">
        <v>61302</v>
      </c>
      <c r="X791" s="4">
        <v>206250</v>
      </c>
      <c r="Y791" s="14">
        <v>44211</v>
      </c>
      <c r="Z791" s="14">
        <v>46644</v>
      </c>
      <c r="AA791" s="2"/>
      <c r="AB791" s="69" t="s">
        <v>3892</v>
      </c>
      <c r="AC791" s="5" t="s">
        <v>7</v>
      </c>
      <c r="AD791" s="2"/>
      <c r="AE791" s="14">
        <v>46552</v>
      </c>
      <c r="AF791" s="23">
        <v>100</v>
      </c>
      <c r="AG791" s="14">
        <v>46552</v>
      </c>
      <c r="AH791" s="5" t="s">
        <v>4402</v>
      </c>
      <c r="AI791" s="5" t="s">
        <v>1307</v>
      </c>
      <c r="AJ791" s="5" t="s">
        <v>2</v>
      </c>
      <c r="AK791" s="21" t="s">
        <v>2</v>
      </c>
      <c r="AL791" s="72" t="s">
        <v>3894</v>
      </c>
      <c r="AM791" s="54" t="s">
        <v>4179</v>
      </c>
      <c r="AN791" s="34" t="s">
        <v>828</v>
      </c>
    </row>
    <row r="792" spans="2:40" x14ac:dyDescent="0.3">
      <c r="B792" s="18" t="s">
        <v>159</v>
      </c>
      <c r="C792" s="47" t="s">
        <v>2908</v>
      </c>
      <c r="D792" s="15" t="s">
        <v>3773</v>
      </c>
      <c r="E792" s="68" t="s">
        <v>2</v>
      </c>
      <c r="F792" s="55" t="s">
        <v>1164</v>
      </c>
      <c r="G792" s="40" t="s">
        <v>2</v>
      </c>
      <c r="H792" s="71" t="s">
        <v>3894</v>
      </c>
      <c r="I792" s="67" t="s">
        <v>3408</v>
      </c>
      <c r="J792" s="73" t="s">
        <v>270</v>
      </c>
      <c r="K792" s="4">
        <v>4000000</v>
      </c>
      <c r="L792" s="41">
        <v>99.793999999999997</v>
      </c>
      <c r="M792" s="4">
        <v>3991760</v>
      </c>
      <c r="N792" s="4">
        <v>4000000</v>
      </c>
      <c r="O792" s="4">
        <v>4000000</v>
      </c>
      <c r="P792" s="4">
        <v>0</v>
      </c>
      <c r="Q792" s="4">
        <v>0</v>
      </c>
      <c r="R792" s="4">
        <v>0</v>
      </c>
      <c r="S792" s="4">
        <v>0</v>
      </c>
      <c r="T792" s="23">
        <v>4.12</v>
      </c>
      <c r="U792" s="23">
        <v>4.12</v>
      </c>
      <c r="V792" s="5" t="s">
        <v>10</v>
      </c>
      <c r="W792" s="4">
        <v>51729</v>
      </c>
      <c r="X792" s="4">
        <v>164800</v>
      </c>
      <c r="Y792" s="14">
        <v>43167</v>
      </c>
      <c r="Z792" s="14">
        <v>44993</v>
      </c>
      <c r="AA792" s="2"/>
      <c r="AB792" s="69" t="s">
        <v>2783</v>
      </c>
      <c r="AC792" s="5" t="s">
        <v>2</v>
      </c>
      <c r="AD792" s="2"/>
      <c r="AE792" s="10"/>
      <c r="AF792" s="23"/>
      <c r="AG792" s="10"/>
      <c r="AH792" s="5" t="s">
        <v>2</v>
      </c>
      <c r="AI792" s="5" t="s">
        <v>2131</v>
      </c>
      <c r="AJ792" s="5" t="s">
        <v>2428</v>
      </c>
      <c r="AK792" s="21" t="s">
        <v>2</v>
      </c>
      <c r="AL792" s="72" t="s">
        <v>3894</v>
      </c>
      <c r="AM792" s="54" t="s">
        <v>4179</v>
      </c>
      <c r="AN792" s="34" t="s">
        <v>1650</v>
      </c>
    </row>
    <row r="793" spans="2:40" x14ac:dyDescent="0.3">
      <c r="B793" s="7" t="s">
        <v>2744</v>
      </c>
      <c r="C793" s="1" t="s">
        <v>2744</v>
      </c>
      <c r="D793" s="8" t="s">
        <v>2744</v>
      </c>
      <c r="E793" s="1" t="s">
        <v>2744</v>
      </c>
      <c r="F793" s="1" t="s">
        <v>2744</v>
      </c>
      <c r="G793" s="1" t="s">
        <v>2744</v>
      </c>
      <c r="H793" s="1" t="s">
        <v>2744</v>
      </c>
      <c r="I793" s="1" t="s">
        <v>2744</v>
      </c>
      <c r="J793" s="1" t="s">
        <v>2744</v>
      </c>
      <c r="K793" s="1" t="s">
        <v>2744</v>
      </c>
      <c r="L793" s="1" t="s">
        <v>2744</v>
      </c>
      <c r="M793" s="1" t="s">
        <v>2744</v>
      </c>
      <c r="N793" s="1" t="s">
        <v>2744</v>
      </c>
      <c r="O793" s="1" t="s">
        <v>2744</v>
      </c>
      <c r="P793" s="1" t="s">
        <v>2744</v>
      </c>
      <c r="Q793" s="1" t="s">
        <v>2744</v>
      </c>
      <c r="R793" s="1" t="s">
        <v>2744</v>
      </c>
      <c r="S793" s="1" t="s">
        <v>2744</v>
      </c>
      <c r="T793" s="1" t="s">
        <v>2744</v>
      </c>
      <c r="U793" s="1" t="s">
        <v>2744</v>
      </c>
      <c r="V793" s="1" t="s">
        <v>2744</v>
      </c>
      <c r="W793" s="1" t="s">
        <v>2744</v>
      </c>
      <c r="X793" s="1" t="s">
        <v>2744</v>
      </c>
      <c r="Y793" s="22" t="s">
        <v>2744</v>
      </c>
      <c r="Z793" s="22" t="s">
        <v>2744</v>
      </c>
      <c r="AA793" s="1" t="s">
        <v>2744</v>
      </c>
      <c r="AB793" s="1" t="s">
        <v>2744</v>
      </c>
      <c r="AC793" s="1" t="s">
        <v>2744</v>
      </c>
      <c r="AD793" s="1" t="s">
        <v>2744</v>
      </c>
      <c r="AE793" s="22" t="s">
        <v>2744</v>
      </c>
      <c r="AF793" s="1" t="s">
        <v>2744</v>
      </c>
      <c r="AG793" s="22" t="s">
        <v>2744</v>
      </c>
      <c r="AH793" s="1" t="s">
        <v>2744</v>
      </c>
      <c r="AI793" s="1" t="s">
        <v>2744</v>
      </c>
      <c r="AJ793" s="1" t="s">
        <v>2744</v>
      </c>
      <c r="AK793" s="1" t="s">
        <v>2744</v>
      </c>
      <c r="AL793" s="1" t="s">
        <v>2744</v>
      </c>
      <c r="AM793" s="1" t="s">
        <v>2744</v>
      </c>
      <c r="AN793" s="1" t="s">
        <v>2744</v>
      </c>
    </row>
    <row r="794" spans="2:40" ht="56" x14ac:dyDescent="0.3">
      <c r="B794" s="19" t="s">
        <v>1511</v>
      </c>
      <c r="C794" s="17" t="s">
        <v>3262</v>
      </c>
      <c r="D794" s="16"/>
      <c r="E794" s="2"/>
      <c r="F794" s="2"/>
      <c r="G794" s="2"/>
      <c r="H794" s="2"/>
      <c r="I794" s="2"/>
      <c r="J794" s="2"/>
      <c r="K794" s="3">
        <f>SUM(GMIC_22A_SCDPT1!SCDPT1_101BEGINNG_7:GMIC_22A_SCDPT1!SCDPT1_101ENDINGG_7)</f>
        <v>3519873235</v>
      </c>
      <c r="L794" s="2"/>
      <c r="M794" s="3">
        <f>SUM(GMIC_22A_SCDPT1!SCDPT1_101BEGINNG_9:GMIC_22A_SCDPT1!SCDPT1_101ENDINGG_9)</f>
        <v>3205508468</v>
      </c>
      <c r="N794" s="3">
        <f>SUM(GMIC_22A_SCDPT1!SCDPT1_101BEGINNG_10:GMIC_22A_SCDPT1!SCDPT1_101ENDINGG_10)</f>
        <v>3518385902</v>
      </c>
      <c r="O794" s="3">
        <f>SUM(GMIC_22A_SCDPT1!SCDPT1_101BEGINNG_11:GMIC_22A_SCDPT1!SCDPT1_101ENDINGG_11)</f>
        <v>3500474928</v>
      </c>
      <c r="P794" s="3">
        <f>SUM(GMIC_22A_SCDPT1!SCDPT1_101BEGINNG_12:GMIC_22A_SCDPT1!SCDPT1_101ENDINGG_12)</f>
        <v>-15522228</v>
      </c>
      <c r="Q794" s="3">
        <f>SUM(GMIC_22A_SCDPT1!SCDPT1_101BEGINNG_13:GMIC_22A_SCDPT1!SCDPT1_101ENDINGG_13)</f>
        <v>-1377745</v>
      </c>
      <c r="R794" s="3">
        <f>SUM(GMIC_22A_SCDPT1!SCDPT1_101BEGINNG_14:GMIC_22A_SCDPT1!SCDPT1_101ENDINGG_14)</f>
        <v>0</v>
      </c>
      <c r="S794" s="3">
        <f>SUM(GMIC_22A_SCDPT1!SCDPT1_101BEGINNG_15:GMIC_22A_SCDPT1!SCDPT1_101ENDINGG_15)</f>
        <v>0</v>
      </c>
      <c r="T794" s="2"/>
      <c r="U794" s="2"/>
      <c r="V794" s="2"/>
      <c r="W794" s="3">
        <f>SUM(GMIC_22A_SCDPT1!SCDPT1_101BEGINNG_19:GMIC_22A_SCDPT1!SCDPT1_101ENDINGG_19)</f>
        <v>27597490</v>
      </c>
      <c r="X794" s="3">
        <f>SUM(GMIC_22A_SCDPT1!SCDPT1_101BEGINNG_20:GMIC_22A_SCDPT1!SCDPT1_101ENDINGG_20)</f>
        <v>89121226</v>
      </c>
      <c r="Y794" s="29"/>
      <c r="Z794" s="29"/>
      <c r="AA794" s="2"/>
      <c r="AB794" s="2"/>
      <c r="AC794" s="2"/>
      <c r="AD794" s="2"/>
      <c r="AE794" s="29"/>
      <c r="AF794" s="2"/>
      <c r="AG794" s="29"/>
      <c r="AH794" s="2"/>
      <c r="AI794" s="2"/>
      <c r="AJ794" s="2"/>
      <c r="AK794" s="2"/>
      <c r="AL794" s="2"/>
      <c r="AM794" s="2"/>
      <c r="AN794" s="2"/>
    </row>
    <row r="795" spans="2:40" x14ac:dyDescent="0.3">
      <c r="B795" s="7" t="s">
        <v>2744</v>
      </c>
      <c r="C795" s="1" t="s">
        <v>2744</v>
      </c>
      <c r="D795" s="8" t="s">
        <v>2744</v>
      </c>
      <c r="E795" s="1" t="s">
        <v>2744</v>
      </c>
      <c r="F795" s="1" t="s">
        <v>2744</v>
      </c>
      <c r="G795" s="1" t="s">
        <v>2744</v>
      </c>
      <c r="H795" s="1" t="s">
        <v>2744</v>
      </c>
      <c r="I795" s="1" t="s">
        <v>2744</v>
      </c>
      <c r="J795" s="1" t="s">
        <v>2744</v>
      </c>
      <c r="K795" s="1" t="s">
        <v>2744</v>
      </c>
      <c r="L795" s="1" t="s">
        <v>2744</v>
      </c>
      <c r="M795" s="1" t="s">
        <v>2744</v>
      </c>
      <c r="N795" s="1" t="s">
        <v>2744</v>
      </c>
      <c r="O795" s="1" t="s">
        <v>2744</v>
      </c>
      <c r="P795" s="1" t="s">
        <v>2744</v>
      </c>
      <c r="Q795" s="1" t="s">
        <v>2744</v>
      </c>
      <c r="R795" s="1" t="s">
        <v>2744</v>
      </c>
      <c r="S795" s="1" t="s">
        <v>2744</v>
      </c>
      <c r="T795" s="1" t="s">
        <v>2744</v>
      </c>
      <c r="U795" s="1" t="s">
        <v>2744</v>
      </c>
      <c r="V795" s="1" t="s">
        <v>2744</v>
      </c>
      <c r="W795" s="1" t="s">
        <v>2744</v>
      </c>
      <c r="X795" s="1" t="s">
        <v>2744</v>
      </c>
      <c r="Y795" s="22" t="s">
        <v>2744</v>
      </c>
      <c r="Z795" s="22" t="s">
        <v>2744</v>
      </c>
      <c r="AA795" s="1" t="s">
        <v>2744</v>
      </c>
      <c r="AB795" s="1" t="s">
        <v>2744</v>
      </c>
      <c r="AC795" s="1" t="s">
        <v>2744</v>
      </c>
      <c r="AD795" s="1" t="s">
        <v>2744</v>
      </c>
      <c r="AE795" s="1" t="s">
        <v>2744</v>
      </c>
      <c r="AF795" s="1" t="s">
        <v>2744</v>
      </c>
      <c r="AG795" s="22" t="s">
        <v>2744</v>
      </c>
      <c r="AH795" s="1" t="s">
        <v>2744</v>
      </c>
      <c r="AI795" s="1" t="s">
        <v>2744</v>
      </c>
      <c r="AJ795" s="1" t="s">
        <v>2744</v>
      </c>
      <c r="AK795" s="1" t="s">
        <v>2744</v>
      </c>
      <c r="AL795" s="1" t="s">
        <v>2744</v>
      </c>
      <c r="AM795" s="1" t="s">
        <v>2744</v>
      </c>
      <c r="AN795" s="1" t="s">
        <v>2744</v>
      </c>
    </row>
    <row r="796" spans="2:40" x14ac:dyDescent="0.3">
      <c r="B796" s="18" t="s">
        <v>4403</v>
      </c>
      <c r="C796" s="25" t="s">
        <v>3897</v>
      </c>
      <c r="D796" s="15" t="s">
        <v>2</v>
      </c>
      <c r="E796" s="37" t="s">
        <v>2</v>
      </c>
      <c r="F796" s="20" t="s">
        <v>2</v>
      </c>
      <c r="G796" s="40" t="s">
        <v>2</v>
      </c>
      <c r="H796" s="32" t="s">
        <v>2</v>
      </c>
      <c r="I796" s="33" t="s">
        <v>2</v>
      </c>
      <c r="J796" s="38" t="s">
        <v>2</v>
      </c>
      <c r="K796" s="4"/>
      <c r="L796" s="41"/>
      <c r="M796" s="4"/>
      <c r="N796" s="4"/>
      <c r="O796" s="4"/>
      <c r="P796" s="4"/>
      <c r="Q796" s="4"/>
      <c r="R796" s="4"/>
      <c r="S796" s="4"/>
      <c r="T796" s="23"/>
      <c r="U796" s="23"/>
      <c r="V796" s="5" t="s">
        <v>2</v>
      </c>
      <c r="W796" s="4"/>
      <c r="X796" s="4"/>
      <c r="Y796" s="10"/>
      <c r="Z796" s="10"/>
      <c r="AA796" s="2"/>
      <c r="AB796" s="31" t="s">
        <v>2</v>
      </c>
      <c r="AC796" s="5" t="s">
        <v>2</v>
      </c>
      <c r="AD796" s="43" t="s">
        <v>2</v>
      </c>
      <c r="AE796" s="6"/>
      <c r="AF796" s="23"/>
      <c r="AG796" s="10"/>
      <c r="AH796" s="5" t="s">
        <v>2</v>
      </c>
      <c r="AI796" s="5" t="s">
        <v>2</v>
      </c>
      <c r="AJ796" s="5" t="s">
        <v>2</v>
      </c>
      <c r="AK796" s="21" t="s">
        <v>2</v>
      </c>
      <c r="AL796" s="39" t="s">
        <v>2</v>
      </c>
      <c r="AM796" s="26" t="s">
        <v>2</v>
      </c>
      <c r="AN796" s="34" t="s">
        <v>2</v>
      </c>
    </row>
    <row r="797" spans="2:40" x14ac:dyDescent="0.3">
      <c r="B797" s="7" t="s">
        <v>2744</v>
      </c>
      <c r="C797" s="1" t="s">
        <v>2744</v>
      </c>
      <c r="D797" s="8" t="s">
        <v>2744</v>
      </c>
      <c r="E797" s="1" t="s">
        <v>2744</v>
      </c>
      <c r="F797" s="1" t="s">
        <v>2744</v>
      </c>
      <c r="G797" s="1" t="s">
        <v>2744</v>
      </c>
      <c r="H797" s="1" t="s">
        <v>2744</v>
      </c>
      <c r="I797" s="1" t="s">
        <v>2744</v>
      </c>
      <c r="J797" s="1" t="s">
        <v>2744</v>
      </c>
      <c r="K797" s="1" t="s">
        <v>2744</v>
      </c>
      <c r="L797" s="1" t="s">
        <v>2744</v>
      </c>
      <c r="M797" s="1" t="s">
        <v>2744</v>
      </c>
      <c r="N797" s="1" t="s">
        <v>2744</v>
      </c>
      <c r="O797" s="1" t="s">
        <v>2744</v>
      </c>
      <c r="P797" s="1" t="s">
        <v>2744</v>
      </c>
      <c r="Q797" s="1" t="s">
        <v>2744</v>
      </c>
      <c r="R797" s="1" t="s">
        <v>2744</v>
      </c>
      <c r="S797" s="1" t="s">
        <v>2744</v>
      </c>
      <c r="T797" s="1" t="s">
        <v>2744</v>
      </c>
      <c r="U797" s="1" t="s">
        <v>2744</v>
      </c>
      <c r="V797" s="1" t="s">
        <v>2744</v>
      </c>
      <c r="W797" s="1" t="s">
        <v>2744</v>
      </c>
      <c r="X797" s="1" t="s">
        <v>2744</v>
      </c>
      <c r="Y797" s="22" t="s">
        <v>2744</v>
      </c>
      <c r="Z797" s="22" t="s">
        <v>2744</v>
      </c>
      <c r="AA797" s="1" t="s">
        <v>2744</v>
      </c>
      <c r="AB797" s="1" t="s">
        <v>2744</v>
      </c>
      <c r="AC797" s="1" t="s">
        <v>2744</v>
      </c>
      <c r="AD797" s="1" t="s">
        <v>2744</v>
      </c>
      <c r="AE797" s="1" t="s">
        <v>2744</v>
      </c>
      <c r="AF797" s="1" t="s">
        <v>2744</v>
      </c>
      <c r="AG797" s="22" t="s">
        <v>2744</v>
      </c>
      <c r="AH797" s="1" t="s">
        <v>2744</v>
      </c>
      <c r="AI797" s="1" t="s">
        <v>2744</v>
      </c>
      <c r="AJ797" s="1" t="s">
        <v>2744</v>
      </c>
      <c r="AK797" s="1" t="s">
        <v>2744</v>
      </c>
      <c r="AL797" s="1" t="s">
        <v>2744</v>
      </c>
      <c r="AM797" s="1" t="s">
        <v>2744</v>
      </c>
      <c r="AN797" s="1" t="s">
        <v>2744</v>
      </c>
    </row>
    <row r="798" spans="2:40" ht="56" x14ac:dyDescent="0.3">
      <c r="B798" s="19" t="s">
        <v>648</v>
      </c>
      <c r="C798" s="17" t="s">
        <v>2132</v>
      </c>
      <c r="D798" s="16"/>
      <c r="E798" s="2"/>
      <c r="F798" s="2"/>
      <c r="G798" s="2"/>
      <c r="H798" s="2"/>
      <c r="I798" s="2"/>
      <c r="J798" s="2"/>
      <c r="K798" s="3">
        <f>SUM(GMIC_22A_SCDPT1!SCDPT1_102BEGINNG_7:GMIC_22A_SCDPT1!SCDPT1_102ENDINGG_7)</f>
        <v>0</v>
      </c>
      <c r="L798" s="2"/>
      <c r="M798" s="3">
        <f>SUM(GMIC_22A_SCDPT1!SCDPT1_102BEGINNG_9:GMIC_22A_SCDPT1!SCDPT1_102ENDINGG_9)</f>
        <v>0</v>
      </c>
      <c r="N798" s="3">
        <f>SUM(GMIC_22A_SCDPT1!SCDPT1_102BEGINNG_10:GMIC_22A_SCDPT1!SCDPT1_102ENDINGG_10)</f>
        <v>0</v>
      </c>
      <c r="O798" s="3">
        <f>SUM(GMIC_22A_SCDPT1!SCDPT1_102BEGINNG_11:GMIC_22A_SCDPT1!SCDPT1_102ENDINGG_11)</f>
        <v>0</v>
      </c>
      <c r="P798" s="3">
        <f>SUM(GMIC_22A_SCDPT1!SCDPT1_102BEGINNG_12:GMIC_22A_SCDPT1!SCDPT1_102ENDINGG_12)</f>
        <v>0</v>
      </c>
      <c r="Q798" s="3">
        <f>SUM(GMIC_22A_SCDPT1!SCDPT1_102BEGINNG_13:GMIC_22A_SCDPT1!SCDPT1_102ENDINGG_13)</f>
        <v>0</v>
      </c>
      <c r="R798" s="3">
        <f>SUM(GMIC_22A_SCDPT1!SCDPT1_102BEGINNG_14:GMIC_22A_SCDPT1!SCDPT1_102ENDINGG_14)</f>
        <v>0</v>
      </c>
      <c r="S798" s="3">
        <f>SUM(GMIC_22A_SCDPT1!SCDPT1_102BEGINNG_15:GMIC_22A_SCDPT1!SCDPT1_102ENDINGG_15)</f>
        <v>0</v>
      </c>
      <c r="T798" s="2"/>
      <c r="U798" s="2"/>
      <c r="V798" s="2"/>
      <c r="W798" s="3">
        <f>SUM(GMIC_22A_SCDPT1!SCDPT1_102BEGINNG_19:GMIC_22A_SCDPT1!SCDPT1_102ENDINGG_19)</f>
        <v>0</v>
      </c>
      <c r="X798" s="3">
        <f>SUM(GMIC_22A_SCDPT1!SCDPT1_102BEGINNG_20:GMIC_22A_SCDPT1!SCDPT1_102ENDINGG_20)</f>
        <v>0</v>
      </c>
      <c r="Y798" s="29"/>
      <c r="Z798" s="29"/>
      <c r="AA798" s="2"/>
      <c r="AB798" s="2"/>
      <c r="AC798" s="2"/>
      <c r="AD798" s="2"/>
      <c r="AE798" s="2"/>
      <c r="AF798" s="2"/>
      <c r="AG798" s="29"/>
      <c r="AH798" s="2"/>
      <c r="AI798" s="2"/>
      <c r="AJ798" s="2"/>
      <c r="AK798" s="2"/>
      <c r="AL798" s="2"/>
      <c r="AM798" s="2"/>
      <c r="AN798" s="2"/>
    </row>
    <row r="799" spans="2:40" x14ac:dyDescent="0.3">
      <c r="B799" s="7" t="s">
        <v>2744</v>
      </c>
      <c r="C799" s="1" t="s">
        <v>2744</v>
      </c>
      <c r="D799" s="8" t="s">
        <v>2744</v>
      </c>
      <c r="E799" s="1" t="s">
        <v>2744</v>
      </c>
      <c r="F799" s="1" t="s">
        <v>2744</v>
      </c>
      <c r="G799" s="1" t="s">
        <v>2744</v>
      </c>
      <c r="H799" s="1" t="s">
        <v>2744</v>
      </c>
      <c r="I799" s="1" t="s">
        <v>2744</v>
      </c>
      <c r="J799" s="1" t="s">
        <v>2744</v>
      </c>
      <c r="K799" s="1" t="s">
        <v>2744</v>
      </c>
      <c r="L799" s="1" t="s">
        <v>2744</v>
      </c>
      <c r="M799" s="1" t="s">
        <v>2744</v>
      </c>
      <c r="N799" s="1" t="s">
        <v>2744</v>
      </c>
      <c r="O799" s="1" t="s">
        <v>2744</v>
      </c>
      <c r="P799" s="1" t="s">
        <v>2744</v>
      </c>
      <c r="Q799" s="1" t="s">
        <v>2744</v>
      </c>
      <c r="R799" s="1" t="s">
        <v>2744</v>
      </c>
      <c r="S799" s="1" t="s">
        <v>2744</v>
      </c>
      <c r="T799" s="1" t="s">
        <v>2744</v>
      </c>
      <c r="U799" s="1" t="s">
        <v>2744</v>
      </c>
      <c r="V799" s="1" t="s">
        <v>2744</v>
      </c>
      <c r="W799" s="1" t="s">
        <v>2744</v>
      </c>
      <c r="X799" s="1" t="s">
        <v>2744</v>
      </c>
      <c r="Y799" s="22" t="s">
        <v>2744</v>
      </c>
      <c r="Z799" s="22" t="s">
        <v>2744</v>
      </c>
      <c r="AA799" s="1" t="s">
        <v>2744</v>
      </c>
      <c r="AB799" s="1" t="s">
        <v>2744</v>
      </c>
      <c r="AC799" s="1" t="s">
        <v>2744</v>
      </c>
      <c r="AD799" s="1" t="s">
        <v>2744</v>
      </c>
      <c r="AE799" s="22" t="s">
        <v>2744</v>
      </c>
      <c r="AF799" s="1" t="s">
        <v>2744</v>
      </c>
      <c r="AG799" s="22" t="s">
        <v>2744</v>
      </c>
      <c r="AH799" s="1" t="s">
        <v>2744</v>
      </c>
      <c r="AI799" s="1" t="s">
        <v>2744</v>
      </c>
      <c r="AJ799" s="1" t="s">
        <v>2744</v>
      </c>
      <c r="AK799" s="1" t="s">
        <v>2744</v>
      </c>
      <c r="AL799" s="1" t="s">
        <v>2744</v>
      </c>
      <c r="AM799" s="1" t="s">
        <v>2744</v>
      </c>
      <c r="AN799" s="1" t="s">
        <v>2744</v>
      </c>
    </row>
    <row r="800" spans="2:40" x14ac:dyDescent="0.3">
      <c r="B800" s="18" t="s">
        <v>3560</v>
      </c>
      <c r="C800" s="25" t="s">
        <v>3897</v>
      </c>
      <c r="D800" s="15" t="s">
        <v>2</v>
      </c>
      <c r="E800" s="37" t="s">
        <v>2</v>
      </c>
      <c r="F800" s="20" t="s">
        <v>2</v>
      </c>
      <c r="G800" s="40" t="s">
        <v>2</v>
      </c>
      <c r="H800" s="32" t="s">
        <v>2</v>
      </c>
      <c r="I800" s="33" t="s">
        <v>2</v>
      </c>
      <c r="J800" s="38" t="s">
        <v>2</v>
      </c>
      <c r="K800" s="4"/>
      <c r="L800" s="41"/>
      <c r="M800" s="4"/>
      <c r="N800" s="4"/>
      <c r="O800" s="4"/>
      <c r="P800" s="4"/>
      <c r="Q800" s="4"/>
      <c r="R800" s="4"/>
      <c r="S800" s="4"/>
      <c r="T800" s="23"/>
      <c r="U800" s="23"/>
      <c r="V800" s="5" t="s">
        <v>2</v>
      </c>
      <c r="W800" s="4"/>
      <c r="X800" s="4"/>
      <c r="Y800" s="10"/>
      <c r="Z800" s="10"/>
      <c r="AA800" s="2"/>
      <c r="AB800" s="31" t="s">
        <v>2</v>
      </c>
      <c r="AC800" s="5" t="s">
        <v>2</v>
      </c>
      <c r="AD800" s="43" t="s">
        <v>2</v>
      </c>
      <c r="AE800" s="10"/>
      <c r="AF800" s="23"/>
      <c r="AG800" s="10"/>
      <c r="AH800" s="5" t="s">
        <v>2</v>
      </c>
      <c r="AI800" s="5" t="s">
        <v>2</v>
      </c>
      <c r="AJ800" s="5" t="s">
        <v>2</v>
      </c>
      <c r="AK800" s="21" t="s">
        <v>2</v>
      </c>
      <c r="AL800" s="39" t="s">
        <v>2</v>
      </c>
      <c r="AM800" s="26" t="s">
        <v>2</v>
      </c>
      <c r="AN800" s="34" t="s">
        <v>2</v>
      </c>
    </row>
    <row r="801" spans="2:40" x14ac:dyDescent="0.3">
      <c r="B801" s="7" t="s">
        <v>2744</v>
      </c>
      <c r="C801" s="1" t="s">
        <v>2744</v>
      </c>
      <c r="D801" s="8" t="s">
        <v>2744</v>
      </c>
      <c r="E801" s="1" t="s">
        <v>2744</v>
      </c>
      <c r="F801" s="1" t="s">
        <v>2744</v>
      </c>
      <c r="G801" s="1" t="s">
        <v>2744</v>
      </c>
      <c r="H801" s="1" t="s">
        <v>2744</v>
      </c>
      <c r="I801" s="1" t="s">
        <v>2744</v>
      </c>
      <c r="J801" s="1" t="s">
        <v>2744</v>
      </c>
      <c r="K801" s="1" t="s">
        <v>2744</v>
      </c>
      <c r="L801" s="1" t="s">
        <v>2744</v>
      </c>
      <c r="M801" s="1" t="s">
        <v>2744</v>
      </c>
      <c r="N801" s="1" t="s">
        <v>2744</v>
      </c>
      <c r="O801" s="1" t="s">
        <v>2744</v>
      </c>
      <c r="P801" s="1" t="s">
        <v>2744</v>
      </c>
      <c r="Q801" s="1" t="s">
        <v>2744</v>
      </c>
      <c r="R801" s="1" t="s">
        <v>2744</v>
      </c>
      <c r="S801" s="1" t="s">
        <v>2744</v>
      </c>
      <c r="T801" s="1" t="s">
        <v>2744</v>
      </c>
      <c r="U801" s="1" t="s">
        <v>2744</v>
      </c>
      <c r="V801" s="1" t="s">
        <v>2744</v>
      </c>
      <c r="W801" s="1" t="s">
        <v>2744</v>
      </c>
      <c r="X801" s="1" t="s">
        <v>2744</v>
      </c>
      <c r="Y801" s="22" t="s">
        <v>2744</v>
      </c>
      <c r="Z801" s="22" t="s">
        <v>2744</v>
      </c>
      <c r="AA801" s="1" t="s">
        <v>2744</v>
      </c>
      <c r="AB801" s="1" t="s">
        <v>2744</v>
      </c>
      <c r="AC801" s="1" t="s">
        <v>2744</v>
      </c>
      <c r="AD801" s="1" t="s">
        <v>2744</v>
      </c>
      <c r="AE801" s="22" t="s">
        <v>2744</v>
      </c>
      <c r="AF801" s="1" t="s">
        <v>2744</v>
      </c>
      <c r="AG801" s="22" t="s">
        <v>2744</v>
      </c>
      <c r="AH801" s="1" t="s">
        <v>2744</v>
      </c>
      <c r="AI801" s="1" t="s">
        <v>2744</v>
      </c>
      <c r="AJ801" s="1" t="s">
        <v>2744</v>
      </c>
      <c r="AK801" s="1" t="s">
        <v>2744</v>
      </c>
      <c r="AL801" s="1" t="s">
        <v>2744</v>
      </c>
      <c r="AM801" s="1" t="s">
        <v>2744</v>
      </c>
      <c r="AN801" s="1" t="s">
        <v>2744</v>
      </c>
    </row>
    <row r="802" spans="2:40" ht="56" x14ac:dyDescent="0.3">
      <c r="B802" s="19" t="s">
        <v>4404</v>
      </c>
      <c r="C802" s="17" t="s">
        <v>4405</v>
      </c>
      <c r="D802" s="16"/>
      <c r="E802" s="2"/>
      <c r="F802" s="2"/>
      <c r="G802" s="2"/>
      <c r="H802" s="2"/>
      <c r="I802" s="2"/>
      <c r="J802" s="2"/>
      <c r="K802" s="3">
        <f>SUM(GMIC_22A_SCDPT1!SCDPT1_103BEGINNG_7:GMIC_22A_SCDPT1!SCDPT1_103ENDINGG_7)</f>
        <v>0</v>
      </c>
      <c r="L802" s="2"/>
      <c r="M802" s="3">
        <f>SUM(GMIC_22A_SCDPT1!SCDPT1_103BEGINNG_9:GMIC_22A_SCDPT1!SCDPT1_103ENDINGG_9)</f>
        <v>0</v>
      </c>
      <c r="N802" s="3">
        <f>SUM(GMIC_22A_SCDPT1!SCDPT1_103BEGINNG_10:GMIC_22A_SCDPT1!SCDPT1_103ENDINGG_10)</f>
        <v>0</v>
      </c>
      <c r="O802" s="3">
        <f>SUM(GMIC_22A_SCDPT1!SCDPT1_103BEGINNG_11:GMIC_22A_SCDPT1!SCDPT1_103ENDINGG_11)</f>
        <v>0</v>
      </c>
      <c r="P802" s="3">
        <f>SUM(GMIC_22A_SCDPT1!SCDPT1_103BEGINNG_12:GMIC_22A_SCDPT1!SCDPT1_103ENDINGG_12)</f>
        <v>0</v>
      </c>
      <c r="Q802" s="3">
        <f>SUM(GMIC_22A_SCDPT1!SCDPT1_103BEGINNG_13:GMIC_22A_SCDPT1!SCDPT1_103ENDINGG_13)</f>
        <v>0</v>
      </c>
      <c r="R802" s="3">
        <f>SUM(GMIC_22A_SCDPT1!SCDPT1_103BEGINNG_14:GMIC_22A_SCDPT1!SCDPT1_103ENDINGG_14)</f>
        <v>0</v>
      </c>
      <c r="S802" s="3">
        <f>SUM(GMIC_22A_SCDPT1!SCDPT1_103BEGINNG_15:GMIC_22A_SCDPT1!SCDPT1_103ENDINGG_15)</f>
        <v>0</v>
      </c>
      <c r="T802" s="2"/>
      <c r="U802" s="2"/>
      <c r="V802" s="2"/>
      <c r="W802" s="3">
        <f>SUM(GMIC_22A_SCDPT1!SCDPT1_103BEGINNG_19:GMIC_22A_SCDPT1!SCDPT1_103ENDINGG_19)</f>
        <v>0</v>
      </c>
      <c r="X802" s="3">
        <f>SUM(GMIC_22A_SCDPT1!SCDPT1_103BEGINNG_20:GMIC_22A_SCDPT1!SCDPT1_103ENDINGG_20)</f>
        <v>0</v>
      </c>
      <c r="Y802" s="29"/>
      <c r="Z802" s="29"/>
      <c r="AA802" s="2"/>
      <c r="AB802" s="2"/>
      <c r="AC802" s="2"/>
      <c r="AD802" s="2"/>
      <c r="AE802" s="2"/>
      <c r="AF802" s="2"/>
      <c r="AG802" s="29"/>
      <c r="AH802" s="2"/>
      <c r="AI802" s="2"/>
      <c r="AJ802" s="2"/>
      <c r="AK802" s="2"/>
      <c r="AL802" s="2"/>
      <c r="AM802" s="2"/>
      <c r="AN802" s="2"/>
    </row>
    <row r="803" spans="2:40" x14ac:dyDescent="0.3">
      <c r="B803" s="7" t="s">
        <v>2744</v>
      </c>
      <c r="C803" s="1" t="s">
        <v>2744</v>
      </c>
      <c r="D803" s="8" t="s">
        <v>2744</v>
      </c>
      <c r="E803" s="1" t="s">
        <v>2744</v>
      </c>
      <c r="F803" s="1" t="s">
        <v>2744</v>
      </c>
      <c r="G803" s="1" t="s">
        <v>2744</v>
      </c>
      <c r="H803" s="1" t="s">
        <v>2744</v>
      </c>
      <c r="I803" s="1" t="s">
        <v>2744</v>
      </c>
      <c r="J803" s="1" t="s">
        <v>2744</v>
      </c>
      <c r="K803" s="1" t="s">
        <v>2744</v>
      </c>
      <c r="L803" s="1" t="s">
        <v>2744</v>
      </c>
      <c r="M803" s="1" t="s">
        <v>2744</v>
      </c>
      <c r="N803" s="1" t="s">
        <v>2744</v>
      </c>
      <c r="O803" s="1" t="s">
        <v>2744</v>
      </c>
      <c r="P803" s="1" t="s">
        <v>2744</v>
      </c>
      <c r="Q803" s="1" t="s">
        <v>2744</v>
      </c>
      <c r="R803" s="1" t="s">
        <v>2744</v>
      </c>
      <c r="S803" s="1" t="s">
        <v>2744</v>
      </c>
      <c r="T803" s="1" t="s">
        <v>2744</v>
      </c>
      <c r="U803" s="1" t="s">
        <v>2744</v>
      </c>
      <c r="V803" s="1" t="s">
        <v>2744</v>
      </c>
      <c r="W803" s="1" t="s">
        <v>2744</v>
      </c>
      <c r="X803" s="1" t="s">
        <v>2744</v>
      </c>
      <c r="Y803" s="22" t="s">
        <v>2744</v>
      </c>
      <c r="Z803" s="22" t="s">
        <v>2744</v>
      </c>
      <c r="AA803" s="1" t="s">
        <v>2744</v>
      </c>
      <c r="AB803" s="1" t="s">
        <v>2744</v>
      </c>
      <c r="AC803" s="1" t="s">
        <v>2744</v>
      </c>
      <c r="AD803" s="1" t="s">
        <v>2744</v>
      </c>
      <c r="AE803" s="22" t="s">
        <v>2744</v>
      </c>
      <c r="AF803" s="1" t="s">
        <v>2744</v>
      </c>
      <c r="AG803" s="22" t="s">
        <v>2744</v>
      </c>
      <c r="AH803" s="1" t="s">
        <v>2744</v>
      </c>
      <c r="AI803" s="1" t="s">
        <v>2744</v>
      </c>
      <c r="AJ803" s="1" t="s">
        <v>2744</v>
      </c>
      <c r="AK803" s="1" t="s">
        <v>2744</v>
      </c>
      <c r="AL803" s="1" t="s">
        <v>2744</v>
      </c>
      <c r="AM803" s="1" t="s">
        <v>2744</v>
      </c>
      <c r="AN803" s="1" t="s">
        <v>2744</v>
      </c>
    </row>
    <row r="804" spans="2:40" x14ac:dyDescent="0.3">
      <c r="B804" s="18" t="s">
        <v>3774</v>
      </c>
      <c r="C804" s="47" t="s">
        <v>396</v>
      </c>
      <c r="D804" s="15" t="s">
        <v>160</v>
      </c>
      <c r="E804" s="37" t="s">
        <v>2</v>
      </c>
      <c r="F804" s="20" t="s">
        <v>2</v>
      </c>
      <c r="G804" s="40" t="s">
        <v>1921</v>
      </c>
      <c r="H804" s="32" t="s">
        <v>2745</v>
      </c>
      <c r="I804" s="33" t="s">
        <v>3408</v>
      </c>
      <c r="J804" s="38" t="s">
        <v>270</v>
      </c>
      <c r="K804" s="4">
        <v>9999982</v>
      </c>
      <c r="L804" s="41">
        <v>90.355999999999995</v>
      </c>
      <c r="M804" s="4">
        <v>9035613</v>
      </c>
      <c r="N804" s="4">
        <v>10000000</v>
      </c>
      <c r="O804" s="4">
        <v>9999673</v>
      </c>
      <c r="P804" s="4">
        <v>0</v>
      </c>
      <c r="Q804" s="4">
        <v>-39</v>
      </c>
      <c r="R804" s="4">
        <v>0</v>
      </c>
      <c r="S804" s="4">
        <v>0</v>
      </c>
      <c r="T804" s="23">
        <v>2.294</v>
      </c>
      <c r="U804" s="23">
        <v>2.294</v>
      </c>
      <c r="V804" s="5" t="s">
        <v>268</v>
      </c>
      <c r="W804" s="4">
        <v>95579</v>
      </c>
      <c r="X804" s="4">
        <v>229390</v>
      </c>
      <c r="Y804" s="14">
        <v>43719</v>
      </c>
      <c r="Z804" s="14">
        <v>48061</v>
      </c>
      <c r="AA804" s="2"/>
      <c r="AB804" s="31" t="s">
        <v>3892</v>
      </c>
      <c r="AC804" s="5" t="s">
        <v>7</v>
      </c>
      <c r="AD804" s="43" t="s">
        <v>161</v>
      </c>
      <c r="AE804" s="10"/>
      <c r="AF804" s="23"/>
      <c r="AG804" s="14">
        <v>47331</v>
      </c>
      <c r="AH804" s="5" t="s">
        <v>2</v>
      </c>
      <c r="AI804" s="5" t="s">
        <v>2133</v>
      </c>
      <c r="AJ804" s="5" t="s">
        <v>2133</v>
      </c>
      <c r="AK804" s="21" t="s">
        <v>2</v>
      </c>
      <c r="AL804" s="39" t="s">
        <v>2745</v>
      </c>
      <c r="AM804" s="26" t="s">
        <v>4179</v>
      </c>
      <c r="AN804" s="34" t="s">
        <v>2278</v>
      </c>
    </row>
    <row r="805" spans="2:40" x14ac:dyDescent="0.3">
      <c r="B805" s="18" t="s">
        <v>397</v>
      </c>
      <c r="C805" s="47" t="s">
        <v>3263</v>
      </c>
      <c r="D805" s="15" t="s">
        <v>162</v>
      </c>
      <c r="E805" s="68" t="s">
        <v>2</v>
      </c>
      <c r="F805" s="55" t="s">
        <v>2</v>
      </c>
      <c r="G805" s="40" t="s">
        <v>3894</v>
      </c>
      <c r="H805" s="71" t="s">
        <v>2745</v>
      </c>
      <c r="I805" s="67" t="s">
        <v>8</v>
      </c>
      <c r="J805" s="73" t="s">
        <v>270</v>
      </c>
      <c r="K805" s="4">
        <v>3651098</v>
      </c>
      <c r="L805" s="41">
        <v>90.45</v>
      </c>
      <c r="M805" s="4">
        <v>3301432</v>
      </c>
      <c r="N805" s="4">
        <v>3650000</v>
      </c>
      <c r="O805" s="4">
        <v>3650704</v>
      </c>
      <c r="P805" s="4">
        <v>0</v>
      </c>
      <c r="Q805" s="4">
        <v>-249</v>
      </c>
      <c r="R805" s="4">
        <v>0</v>
      </c>
      <c r="S805" s="4">
        <v>0</v>
      </c>
      <c r="T805" s="23">
        <v>1.1299999999999999</v>
      </c>
      <c r="U805" s="23">
        <v>1.1259999999999999</v>
      </c>
      <c r="V805" s="5" t="s">
        <v>398</v>
      </c>
      <c r="W805" s="4">
        <v>1833</v>
      </c>
      <c r="X805" s="4">
        <v>41245</v>
      </c>
      <c r="Y805" s="14">
        <v>44334</v>
      </c>
      <c r="Z805" s="14">
        <v>47557</v>
      </c>
      <c r="AA805" s="2"/>
      <c r="AB805" s="69" t="s">
        <v>3892</v>
      </c>
      <c r="AC805" s="5" t="s">
        <v>7</v>
      </c>
      <c r="AD805" s="84" t="s">
        <v>1921</v>
      </c>
      <c r="AE805" s="14">
        <v>45519</v>
      </c>
      <c r="AF805" s="23">
        <v>100</v>
      </c>
      <c r="AG805" s="14">
        <v>46037</v>
      </c>
      <c r="AH805" s="5" t="s">
        <v>2</v>
      </c>
      <c r="AI805" s="5" t="s">
        <v>2637</v>
      </c>
      <c r="AJ805" s="5" t="s">
        <v>824</v>
      </c>
      <c r="AK805" s="21" t="s">
        <v>2</v>
      </c>
      <c r="AL805" s="72" t="s">
        <v>2745</v>
      </c>
      <c r="AM805" s="54" t="s">
        <v>4179</v>
      </c>
      <c r="AN805" s="34" t="s">
        <v>1923</v>
      </c>
    </row>
    <row r="806" spans="2:40" x14ac:dyDescent="0.3">
      <c r="B806" s="18" t="s">
        <v>1512</v>
      </c>
      <c r="C806" s="47" t="s">
        <v>2909</v>
      </c>
      <c r="D806" s="15" t="s">
        <v>162</v>
      </c>
      <c r="E806" s="68" t="s">
        <v>2</v>
      </c>
      <c r="F806" s="55" t="s">
        <v>2</v>
      </c>
      <c r="G806" s="40" t="s">
        <v>3894</v>
      </c>
      <c r="H806" s="71" t="s">
        <v>2745</v>
      </c>
      <c r="I806" s="67" t="s">
        <v>2274</v>
      </c>
      <c r="J806" s="73" t="s">
        <v>270</v>
      </c>
      <c r="K806" s="4">
        <v>3751235</v>
      </c>
      <c r="L806" s="41">
        <v>89.313000000000002</v>
      </c>
      <c r="M806" s="4">
        <v>3349225</v>
      </c>
      <c r="N806" s="4">
        <v>3750000</v>
      </c>
      <c r="O806" s="4">
        <v>3750827</v>
      </c>
      <c r="P806" s="4">
        <v>0</v>
      </c>
      <c r="Q806" s="4">
        <v>-260</v>
      </c>
      <c r="R806" s="4">
        <v>0</v>
      </c>
      <c r="S806" s="4">
        <v>0</v>
      </c>
      <c r="T806" s="23">
        <v>1.45</v>
      </c>
      <c r="U806" s="23">
        <v>1.4470000000000001</v>
      </c>
      <c r="V806" s="5" t="s">
        <v>398</v>
      </c>
      <c r="W806" s="4">
        <v>2417</v>
      </c>
      <c r="X806" s="4">
        <v>54375</v>
      </c>
      <c r="Y806" s="14">
        <v>44334</v>
      </c>
      <c r="Z806" s="14">
        <v>47557</v>
      </c>
      <c r="AA806" s="2"/>
      <c r="AB806" s="69" t="s">
        <v>3892</v>
      </c>
      <c r="AC806" s="5" t="s">
        <v>7</v>
      </c>
      <c r="AD806" s="84" t="s">
        <v>1921</v>
      </c>
      <c r="AE806" s="14">
        <v>45519</v>
      </c>
      <c r="AF806" s="23">
        <v>100</v>
      </c>
      <c r="AG806" s="14">
        <v>46096</v>
      </c>
      <c r="AH806" s="5" t="s">
        <v>2</v>
      </c>
      <c r="AI806" s="5" t="s">
        <v>2637</v>
      </c>
      <c r="AJ806" s="5" t="s">
        <v>824</v>
      </c>
      <c r="AK806" s="21" t="s">
        <v>2</v>
      </c>
      <c r="AL806" s="72" t="s">
        <v>2745</v>
      </c>
      <c r="AM806" s="54" t="s">
        <v>4179</v>
      </c>
      <c r="AN806" s="34" t="s">
        <v>1408</v>
      </c>
    </row>
    <row r="807" spans="2:40" x14ac:dyDescent="0.3">
      <c r="B807" s="18" t="s">
        <v>2638</v>
      </c>
      <c r="C807" s="47" t="s">
        <v>3561</v>
      </c>
      <c r="D807" s="15" t="s">
        <v>1787</v>
      </c>
      <c r="E807" s="68" t="s">
        <v>2</v>
      </c>
      <c r="F807" s="55" t="s">
        <v>2</v>
      </c>
      <c r="G807" s="40" t="s">
        <v>2745</v>
      </c>
      <c r="H807" s="71" t="s">
        <v>2745</v>
      </c>
      <c r="I807" s="67" t="s">
        <v>1164</v>
      </c>
      <c r="J807" s="73" t="s">
        <v>270</v>
      </c>
      <c r="K807" s="4">
        <v>3369643</v>
      </c>
      <c r="L807" s="41">
        <v>96.016000000000005</v>
      </c>
      <c r="M807" s="4">
        <v>3235725</v>
      </c>
      <c r="N807" s="4">
        <v>3370000</v>
      </c>
      <c r="O807" s="4">
        <v>3369702</v>
      </c>
      <c r="P807" s="4">
        <v>0</v>
      </c>
      <c r="Q807" s="4">
        <v>60</v>
      </c>
      <c r="R807" s="4">
        <v>0</v>
      </c>
      <c r="S807" s="4">
        <v>0</v>
      </c>
      <c r="T807" s="23">
        <v>3.79</v>
      </c>
      <c r="U807" s="23">
        <v>3.823</v>
      </c>
      <c r="V807" s="5" t="s">
        <v>398</v>
      </c>
      <c r="W807" s="4">
        <v>5677</v>
      </c>
      <c r="X807" s="4">
        <v>86210</v>
      </c>
      <c r="Y807" s="14">
        <v>44658</v>
      </c>
      <c r="Z807" s="14">
        <v>47863</v>
      </c>
      <c r="AA807" s="2"/>
      <c r="AB807" s="69" t="s">
        <v>3892</v>
      </c>
      <c r="AC807" s="5" t="s">
        <v>7</v>
      </c>
      <c r="AD807" s="84" t="s">
        <v>1921</v>
      </c>
      <c r="AE807" s="9">
        <v>45823</v>
      </c>
      <c r="AF807" s="23">
        <v>100</v>
      </c>
      <c r="AG807" s="14">
        <v>46127</v>
      </c>
      <c r="AH807" s="5" t="s">
        <v>2</v>
      </c>
      <c r="AI807" s="5" t="s">
        <v>3775</v>
      </c>
      <c r="AJ807" s="5" t="s">
        <v>824</v>
      </c>
      <c r="AK807" s="21" t="s">
        <v>2</v>
      </c>
      <c r="AL807" s="72" t="s">
        <v>825</v>
      </c>
      <c r="AM807" s="54" t="s">
        <v>4179</v>
      </c>
      <c r="AN807" s="34" t="s">
        <v>1625</v>
      </c>
    </row>
    <row r="808" spans="2:40" x14ac:dyDescent="0.3">
      <c r="B808" s="18" t="s">
        <v>3776</v>
      </c>
      <c r="C808" s="47" t="s">
        <v>3562</v>
      </c>
      <c r="D808" s="15" t="s">
        <v>1787</v>
      </c>
      <c r="E808" s="68" t="s">
        <v>2</v>
      </c>
      <c r="F808" s="55" t="s">
        <v>2</v>
      </c>
      <c r="G808" s="40" t="s">
        <v>2745</v>
      </c>
      <c r="H808" s="71" t="s">
        <v>2745</v>
      </c>
      <c r="I808" s="67" t="s">
        <v>287</v>
      </c>
      <c r="J808" s="73" t="s">
        <v>270</v>
      </c>
      <c r="K808" s="4">
        <v>6998496</v>
      </c>
      <c r="L808" s="41">
        <v>94.772000000000006</v>
      </c>
      <c r="M808" s="4">
        <v>6634020</v>
      </c>
      <c r="N808" s="4">
        <v>7000000</v>
      </c>
      <c r="O808" s="4">
        <v>6998734</v>
      </c>
      <c r="P808" s="4">
        <v>0</v>
      </c>
      <c r="Q808" s="4">
        <v>237</v>
      </c>
      <c r="R808" s="4">
        <v>0</v>
      </c>
      <c r="S808" s="4">
        <v>0</v>
      </c>
      <c r="T808" s="23">
        <v>4.17</v>
      </c>
      <c r="U808" s="23">
        <v>4.2119999999999997</v>
      </c>
      <c r="V808" s="5" t="s">
        <v>398</v>
      </c>
      <c r="W808" s="4">
        <v>12973</v>
      </c>
      <c r="X808" s="4">
        <v>197033</v>
      </c>
      <c r="Y808" s="14">
        <v>44658</v>
      </c>
      <c r="Z808" s="14">
        <v>47863</v>
      </c>
      <c r="AA808" s="2"/>
      <c r="AB808" s="69" t="s">
        <v>3892</v>
      </c>
      <c r="AC808" s="5" t="s">
        <v>7</v>
      </c>
      <c r="AD808" s="84" t="s">
        <v>1921</v>
      </c>
      <c r="AE808" s="14">
        <v>45823</v>
      </c>
      <c r="AF808" s="23">
        <v>100</v>
      </c>
      <c r="AG808" s="14">
        <v>46188</v>
      </c>
      <c r="AH808" s="5" t="s">
        <v>2</v>
      </c>
      <c r="AI808" s="5" t="s">
        <v>3775</v>
      </c>
      <c r="AJ808" s="5" t="s">
        <v>824</v>
      </c>
      <c r="AK808" s="21" t="s">
        <v>2</v>
      </c>
      <c r="AL808" s="72" t="s">
        <v>825</v>
      </c>
      <c r="AM808" s="54" t="s">
        <v>4179</v>
      </c>
      <c r="AN808" s="34" t="s">
        <v>819</v>
      </c>
    </row>
    <row r="809" spans="2:40" x14ac:dyDescent="0.3">
      <c r="B809" s="18" t="s">
        <v>399</v>
      </c>
      <c r="C809" s="47" t="s">
        <v>3777</v>
      </c>
      <c r="D809" s="15" t="s">
        <v>4406</v>
      </c>
      <c r="E809" s="68" t="s">
        <v>2</v>
      </c>
      <c r="F809" s="55" t="s">
        <v>2</v>
      </c>
      <c r="G809" s="40" t="s">
        <v>2745</v>
      </c>
      <c r="H809" s="71" t="s">
        <v>3894</v>
      </c>
      <c r="I809" s="67" t="s">
        <v>3408</v>
      </c>
      <c r="J809" s="73" t="s">
        <v>270</v>
      </c>
      <c r="K809" s="4">
        <v>6376444</v>
      </c>
      <c r="L809" s="41">
        <v>86.838999999999999</v>
      </c>
      <c r="M809" s="4">
        <v>5643986</v>
      </c>
      <c r="N809" s="4">
        <v>6499367</v>
      </c>
      <c r="O809" s="4">
        <v>6417324</v>
      </c>
      <c r="P809" s="4">
        <v>0</v>
      </c>
      <c r="Q809" s="4">
        <v>10447</v>
      </c>
      <c r="R809" s="4">
        <v>0</v>
      </c>
      <c r="S809" s="4">
        <v>0</v>
      </c>
      <c r="T809" s="23">
        <v>3</v>
      </c>
      <c r="U809" s="23">
        <v>3.2949999999999999</v>
      </c>
      <c r="V809" s="5" t="s">
        <v>3895</v>
      </c>
      <c r="W809" s="4">
        <v>41163</v>
      </c>
      <c r="X809" s="4">
        <v>194981</v>
      </c>
      <c r="Y809" s="14">
        <v>43817</v>
      </c>
      <c r="Z809" s="14">
        <v>47041</v>
      </c>
      <c r="AA809" s="2"/>
      <c r="AB809" s="69" t="s">
        <v>3892</v>
      </c>
      <c r="AC809" s="5" t="s">
        <v>4178</v>
      </c>
      <c r="AD809" s="84" t="s">
        <v>4179</v>
      </c>
      <c r="AE809" s="6"/>
      <c r="AF809" s="23"/>
      <c r="AG809" s="10"/>
      <c r="AH809" s="5" t="s">
        <v>2</v>
      </c>
      <c r="AI809" s="5" t="s">
        <v>3264</v>
      </c>
      <c r="AJ809" s="5" t="s">
        <v>3264</v>
      </c>
      <c r="AK809" s="21" t="s">
        <v>2</v>
      </c>
      <c r="AL809" s="72" t="s">
        <v>2745</v>
      </c>
      <c r="AM809" s="54" t="s">
        <v>4179</v>
      </c>
      <c r="AN809" s="34" t="s">
        <v>1650</v>
      </c>
    </row>
    <row r="810" spans="2:40" x14ac:dyDescent="0.3">
      <c r="B810" s="18" t="s">
        <v>1513</v>
      </c>
      <c r="C810" s="47" t="s">
        <v>3265</v>
      </c>
      <c r="D810" s="15" t="s">
        <v>2134</v>
      </c>
      <c r="E810" s="68" t="s">
        <v>2</v>
      </c>
      <c r="F810" s="55" t="s">
        <v>2</v>
      </c>
      <c r="G810" s="40" t="s">
        <v>3894</v>
      </c>
      <c r="H810" s="71" t="s">
        <v>2745</v>
      </c>
      <c r="I810" s="67" t="s">
        <v>2274</v>
      </c>
      <c r="J810" s="73" t="s">
        <v>270</v>
      </c>
      <c r="K810" s="4">
        <v>7681450</v>
      </c>
      <c r="L810" s="41">
        <v>90.968999999999994</v>
      </c>
      <c r="M810" s="4">
        <v>6989148</v>
      </c>
      <c r="N810" s="4">
        <v>7683000</v>
      </c>
      <c r="O810" s="4">
        <v>7681824</v>
      </c>
      <c r="P810" s="4">
        <v>0</v>
      </c>
      <c r="Q810" s="4">
        <v>374</v>
      </c>
      <c r="R810" s="4">
        <v>0</v>
      </c>
      <c r="S810" s="4">
        <v>0</v>
      </c>
      <c r="T810" s="23">
        <v>2.2000000000000002</v>
      </c>
      <c r="U810" s="23">
        <v>2.2160000000000002</v>
      </c>
      <c r="V810" s="5" t="s">
        <v>398</v>
      </c>
      <c r="W810" s="4">
        <v>5165</v>
      </c>
      <c r="X810" s="4">
        <v>152123</v>
      </c>
      <c r="Y810" s="14">
        <v>44580</v>
      </c>
      <c r="Z810" s="14">
        <v>46772</v>
      </c>
      <c r="AA810" s="2"/>
      <c r="AB810" s="69" t="s">
        <v>3892</v>
      </c>
      <c r="AC810" s="5" t="s">
        <v>7</v>
      </c>
      <c r="AD810" s="84" t="s">
        <v>4179</v>
      </c>
      <c r="AE810" s="9">
        <v>45950</v>
      </c>
      <c r="AF810" s="23">
        <v>100</v>
      </c>
      <c r="AG810" s="14">
        <v>45981</v>
      </c>
      <c r="AH810" s="5" t="s">
        <v>2</v>
      </c>
      <c r="AI810" s="5" t="s">
        <v>2429</v>
      </c>
      <c r="AJ810" s="5" t="s">
        <v>824</v>
      </c>
      <c r="AK810" s="21" t="s">
        <v>2</v>
      </c>
      <c r="AL810" s="72" t="s">
        <v>825</v>
      </c>
      <c r="AM810" s="54" t="s">
        <v>4179</v>
      </c>
      <c r="AN810" s="34" t="s">
        <v>1408</v>
      </c>
    </row>
    <row r="811" spans="2:40" x14ac:dyDescent="0.3">
      <c r="B811" s="18" t="s">
        <v>2639</v>
      </c>
      <c r="C811" s="47" t="s">
        <v>3266</v>
      </c>
      <c r="D811" s="15" t="s">
        <v>2134</v>
      </c>
      <c r="E811" s="68" t="s">
        <v>2</v>
      </c>
      <c r="F811" s="55" t="s">
        <v>2</v>
      </c>
      <c r="G811" s="40" t="s">
        <v>3894</v>
      </c>
      <c r="H811" s="71" t="s">
        <v>2745</v>
      </c>
      <c r="I811" s="67" t="s">
        <v>287</v>
      </c>
      <c r="J811" s="73" t="s">
        <v>270</v>
      </c>
      <c r="K811" s="4">
        <v>3899826</v>
      </c>
      <c r="L811" s="41">
        <v>89.921999999999997</v>
      </c>
      <c r="M811" s="4">
        <v>3506943</v>
      </c>
      <c r="N811" s="4">
        <v>3900000</v>
      </c>
      <c r="O811" s="4">
        <v>3899863</v>
      </c>
      <c r="P811" s="4">
        <v>0</v>
      </c>
      <c r="Q811" s="4">
        <v>37</v>
      </c>
      <c r="R811" s="4">
        <v>0</v>
      </c>
      <c r="S811" s="4">
        <v>0</v>
      </c>
      <c r="T811" s="23">
        <v>2.37</v>
      </c>
      <c r="U811" s="23">
        <v>2.383</v>
      </c>
      <c r="V811" s="5" t="s">
        <v>398</v>
      </c>
      <c r="W811" s="4">
        <v>2824</v>
      </c>
      <c r="X811" s="4">
        <v>83187</v>
      </c>
      <c r="Y811" s="14">
        <v>44580</v>
      </c>
      <c r="Z811" s="14">
        <v>46863</v>
      </c>
      <c r="AA811" s="2"/>
      <c r="AB811" s="69" t="s">
        <v>3892</v>
      </c>
      <c r="AC811" s="5" t="s">
        <v>7</v>
      </c>
      <c r="AD811" s="84" t="s">
        <v>4179</v>
      </c>
      <c r="AE811" s="14">
        <v>45950</v>
      </c>
      <c r="AF811" s="23">
        <v>100</v>
      </c>
      <c r="AG811" s="14">
        <v>46073</v>
      </c>
      <c r="AH811" s="5" t="s">
        <v>2</v>
      </c>
      <c r="AI811" s="5" t="s">
        <v>2429</v>
      </c>
      <c r="AJ811" s="5" t="s">
        <v>824</v>
      </c>
      <c r="AK811" s="21" t="s">
        <v>2</v>
      </c>
      <c r="AL811" s="72" t="s">
        <v>825</v>
      </c>
      <c r="AM811" s="54" t="s">
        <v>4179</v>
      </c>
      <c r="AN811" s="34" t="s">
        <v>819</v>
      </c>
    </row>
    <row r="812" spans="2:40" x14ac:dyDescent="0.3">
      <c r="B812" s="18" t="s">
        <v>4045</v>
      </c>
      <c r="C812" s="47" t="s">
        <v>1788</v>
      </c>
      <c r="D812" s="15" t="s">
        <v>2134</v>
      </c>
      <c r="E812" s="68" t="s">
        <v>2</v>
      </c>
      <c r="F812" s="55" t="s">
        <v>2</v>
      </c>
      <c r="G812" s="40" t="s">
        <v>3894</v>
      </c>
      <c r="H812" s="71" t="s">
        <v>2745</v>
      </c>
      <c r="I812" s="67" t="s">
        <v>3408</v>
      </c>
      <c r="J812" s="73" t="s">
        <v>270</v>
      </c>
      <c r="K812" s="4">
        <v>3749405</v>
      </c>
      <c r="L812" s="41">
        <v>98.924999999999997</v>
      </c>
      <c r="M812" s="4">
        <v>3709681</v>
      </c>
      <c r="N812" s="4">
        <v>3750000</v>
      </c>
      <c r="O812" s="4">
        <v>3749472</v>
      </c>
      <c r="P812" s="4">
        <v>0</v>
      </c>
      <c r="Q812" s="4">
        <v>67</v>
      </c>
      <c r="R812" s="4">
        <v>0</v>
      </c>
      <c r="S812" s="4">
        <v>0</v>
      </c>
      <c r="T812" s="23">
        <v>5.3</v>
      </c>
      <c r="U812" s="23">
        <v>5.367</v>
      </c>
      <c r="V812" s="5" t="s">
        <v>398</v>
      </c>
      <c r="W812" s="4">
        <v>6073</v>
      </c>
      <c r="X812" s="4">
        <v>49135</v>
      </c>
      <c r="Y812" s="14">
        <v>44818</v>
      </c>
      <c r="Z812" s="14">
        <v>46925</v>
      </c>
      <c r="AA812" s="2"/>
      <c r="AB812" s="69" t="s">
        <v>3892</v>
      </c>
      <c r="AC812" s="5" t="s">
        <v>7</v>
      </c>
      <c r="AD812" s="84" t="s">
        <v>4179</v>
      </c>
      <c r="AE812" s="14">
        <v>46132</v>
      </c>
      <c r="AF812" s="23">
        <v>100</v>
      </c>
      <c r="AG812" s="14">
        <v>46132</v>
      </c>
      <c r="AH812" s="5" t="s">
        <v>2</v>
      </c>
      <c r="AI812" s="5" t="s">
        <v>2429</v>
      </c>
      <c r="AJ812" s="5" t="s">
        <v>824</v>
      </c>
      <c r="AK812" s="21" t="s">
        <v>2</v>
      </c>
      <c r="AL812" s="72" t="s">
        <v>3894</v>
      </c>
      <c r="AM812" s="54" t="s">
        <v>4179</v>
      </c>
      <c r="AN812" s="34" t="s">
        <v>2278</v>
      </c>
    </row>
    <row r="813" spans="2:40" x14ac:dyDescent="0.3">
      <c r="B813" s="18" t="s">
        <v>1514</v>
      </c>
      <c r="C813" s="47" t="s">
        <v>1515</v>
      </c>
      <c r="D813" s="15" t="s">
        <v>2134</v>
      </c>
      <c r="E813" s="68" t="s">
        <v>2</v>
      </c>
      <c r="F813" s="55" t="s">
        <v>2</v>
      </c>
      <c r="G813" s="40" t="s">
        <v>3894</v>
      </c>
      <c r="H813" s="71" t="s">
        <v>2745</v>
      </c>
      <c r="I813" s="67" t="s">
        <v>2274</v>
      </c>
      <c r="J813" s="73" t="s">
        <v>270</v>
      </c>
      <c r="K813" s="4">
        <v>4073731</v>
      </c>
      <c r="L813" s="41">
        <v>98.769000000000005</v>
      </c>
      <c r="M813" s="4">
        <v>4023860</v>
      </c>
      <c r="N813" s="4">
        <v>4074000</v>
      </c>
      <c r="O813" s="4">
        <v>4073737</v>
      </c>
      <c r="P813" s="4">
        <v>0</v>
      </c>
      <c r="Q813" s="4">
        <v>6</v>
      </c>
      <c r="R813" s="4">
        <v>0</v>
      </c>
      <c r="S813" s="4">
        <v>0</v>
      </c>
      <c r="T813" s="23">
        <v>5.65</v>
      </c>
      <c r="U813" s="23">
        <v>5.7190000000000003</v>
      </c>
      <c r="V813" s="5" t="s">
        <v>398</v>
      </c>
      <c r="W813" s="4">
        <v>7033</v>
      </c>
      <c r="X813" s="4">
        <v>56906</v>
      </c>
      <c r="Y813" s="14">
        <v>44818</v>
      </c>
      <c r="Z813" s="14">
        <v>47046</v>
      </c>
      <c r="AA813" s="2"/>
      <c r="AB813" s="69" t="s">
        <v>3892</v>
      </c>
      <c r="AC813" s="5" t="s">
        <v>7</v>
      </c>
      <c r="AD813" s="84" t="s">
        <v>4179</v>
      </c>
      <c r="AE813" s="14">
        <v>46193</v>
      </c>
      <c r="AF813" s="23">
        <v>100</v>
      </c>
      <c r="AG813" s="14">
        <v>46223</v>
      </c>
      <c r="AH813" s="5" t="s">
        <v>2</v>
      </c>
      <c r="AI813" s="5" t="s">
        <v>2429</v>
      </c>
      <c r="AJ813" s="5" t="s">
        <v>824</v>
      </c>
      <c r="AK813" s="21" t="s">
        <v>2</v>
      </c>
      <c r="AL813" s="72" t="s">
        <v>825</v>
      </c>
      <c r="AM813" s="54" t="s">
        <v>4179</v>
      </c>
      <c r="AN813" s="34" t="s">
        <v>1408</v>
      </c>
    </row>
    <row r="814" spans="2:40" x14ac:dyDescent="0.3">
      <c r="B814" s="18" t="s">
        <v>2640</v>
      </c>
      <c r="C814" s="47" t="s">
        <v>4046</v>
      </c>
      <c r="D814" s="15" t="s">
        <v>2134</v>
      </c>
      <c r="E814" s="68" t="s">
        <v>2</v>
      </c>
      <c r="F814" s="55" t="s">
        <v>2</v>
      </c>
      <c r="G814" s="40" t="s">
        <v>3894</v>
      </c>
      <c r="H814" s="71" t="s">
        <v>2745</v>
      </c>
      <c r="I814" s="67" t="s">
        <v>287</v>
      </c>
      <c r="J814" s="73" t="s">
        <v>270</v>
      </c>
      <c r="K814" s="4">
        <v>7497694</v>
      </c>
      <c r="L814" s="41">
        <v>98.742999999999995</v>
      </c>
      <c r="M814" s="4">
        <v>7405750</v>
      </c>
      <c r="N814" s="4">
        <v>7500000</v>
      </c>
      <c r="O814" s="4">
        <v>7497811</v>
      </c>
      <c r="P814" s="4">
        <v>0</v>
      </c>
      <c r="Q814" s="4">
        <v>117</v>
      </c>
      <c r="R814" s="4">
        <v>0</v>
      </c>
      <c r="S814" s="4">
        <v>0</v>
      </c>
      <c r="T814" s="23">
        <v>6.27</v>
      </c>
      <c r="U814" s="23">
        <v>6.3620000000000001</v>
      </c>
      <c r="V814" s="5" t="s">
        <v>398</v>
      </c>
      <c r="W814" s="4">
        <v>14369</v>
      </c>
      <c r="X814" s="4">
        <v>116256</v>
      </c>
      <c r="Y814" s="14">
        <v>44818</v>
      </c>
      <c r="Z814" s="14">
        <v>47140</v>
      </c>
      <c r="AA814" s="2"/>
      <c r="AB814" s="69" t="s">
        <v>3892</v>
      </c>
      <c r="AC814" s="5" t="s">
        <v>7</v>
      </c>
      <c r="AD814" s="84" t="s">
        <v>4179</v>
      </c>
      <c r="AE814" s="14">
        <v>46193</v>
      </c>
      <c r="AF814" s="23">
        <v>100</v>
      </c>
      <c r="AG814" s="14">
        <v>46315</v>
      </c>
      <c r="AH814" s="5" t="s">
        <v>2</v>
      </c>
      <c r="AI814" s="5" t="s">
        <v>2429</v>
      </c>
      <c r="AJ814" s="5" t="s">
        <v>824</v>
      </c>
      <c r="AK814" s="21" t="s">
        <v>2</v>
      </c>
      <c r="AL814" s="72" t="s">
        <v>825</v>
      </c>
      <c r="AM814" s="54" t="s">
        <v>4179</v>
      </c>
      <c r="AN814" s="34" t="s">
        <v>819</v>
      </c>
    </row>
    <row r="815" spans="2:40" x14ac:dyDescent="0.3">
      <c r="B815" s="18" t="s">
        <v>3778</v>
      </c>
      <c r="C815" s="47" t="s">
        <v>649</v>
      </c>
      <c r="D815" s="15" t="s">
        <v>2135</v>
      </c>
      <c r="E815" s="68" t="s">
        <v>2</v>
      </c>
      <c r="F815" s="55" t="s">
        <v>2</v>
      </c>
      <c r="G815" s="40" t="s">
        <v>3894</v>
      </c>
      <c r="H815" s="71" t="s">
        <v>3894</v>
      </c>
      <c r="I815" s="67" t="s">
        <v>1164</v>
      </c>
      <c r="J815" s="73" t="s">
        <v>270</v>
      </c>
      <c r="K815" s="4">
        <v>7400287</v>
      </c>
      <c r="L815" s="41">
        <v>84.474999999999994</v>
      </c>
      <c r="M815" s="4">
        <v>6193059</v>
      </c>
      <c r="N815" s="4">
        <v>7331250</v>
      </c>
      <c r="O815" s="4">
        <v>7376228</v>
      </c>
      <c r="P815" s="4">
        <v>0</v>
      </c>
      <c r="Q815" s="4">
        <v>-9422</v>
      </c>
      <c r="R815" s="4">
        <v>0</v>
      </c>
      <c r="S815" s="4">
        <v>0</v>
      </c>
      <c r="T815" s="23">
        <v>3.2370000000000001</v>
      </c>
      <c r="U815" s="23">
        <v>2.9780000000000002</v>
      </c>
      <c r="V815" s="5" t="s">
        <v>3551</v>
      </c>
      <c r="W815" s="4">
        <v>40211</v>
      </c>
      <c r="X815" s="4">
        <v>237316</v>
      </c>
      <c r="Y815" s="14">
        <v>44042</v>
      </c>
      <c r="Z815" s="14">
        <v>54999</v>
      </c>
      <c r="AA815" s="2"/>
      <c r="AB815" s="69" t="s">
        <v>3892</v>
      </c>
      <c r="AC815" s="5" t="s">
        <v>7</v>
      </c>
      <c r="AD815" s="84" t="s">
        <v>161</v>
      </c>
      <c r="AE815" s="14">
        <v>45503</v>
      </c>
      <c r="AF815" s="23">
        <v>100</v>
      </c>
      <c r="AG815" s="14">
        <v>46598</v>
      </c>
      <c r="AH815" s="5" t="s">
        <v>2</v>
      </c>
      <c r="AI815" s="5" t="s">
        <v>2430</v>
      </c>
      <c r="AJ815" s="5" t="s">
        <v>824</v>
      </c>
      <c r="AK815" s="21" t="s">
        <v>2</v>
      </c>
      <c r="AL815" s="72" t="s">
        <v>2745</v>
      </c>
      <c r="AM815" s="54" t="s">
        <v>4179</v>
      </c>
      <c r="AN815" s="34" t="s">
        <v>828</v>
      </c>
    </row>
    <row r="816" spans="2:40" x14ac:dyDescent="0.3">
      <c r="B816" s="18" t="s">
        <v>400</v>
      </c>
      <c r="C816" s="47" t="s">
        <v>1516</v>
      </c>
      <c r="D816" s="15" t="s">
        <v>3267</v>
      </c>
      <c r="E816" s="68" t="s">
        <v>2</v>
      </c>
      <c r="F816" s="55" t="s">
        <v>2</v>
      </c>
      <c r="G816" s="40" t="s">
        <v>1921</v>
      </c>
      <c r="H816" s="71" t="s">
        <v>2745</v>
      </c>
      <c r="I816" s="67" t="s">
        <v>3660</v>
      </c>
      <c r="J816" s="73" t="s">
        <v>270</v>
      </c>
      <c r="K816" s="4">
        <v>1499323</v>
      </c>
      <c r="L816" s="41">
        <v>99.691000000000003</v>
      </c>
      <c r="M816" s="4">
        <v>1495372</v>
      </c>
      <c r="N816" s="4">
        <v>1500000</v>
      </c>
      <c r="O816" s="4">
        <v>1499934</v>
      </c>
      <c r="P816" s="4">
        <v>0</v>
      </c>
      <c r="Q816" s="4">
        <v>116</v>
      </c>
      <c r="R816" s="4">
        <v>0</v>
      </c>
      <c r="S816" s="4">
        <v>0</v>
      </c>
      <c r="T816" s="23">
        <v>3.33</v>
      </c>
      <c r="U816" s="23">
        <v>3.3620000000000001</v>
      </c>
      <c r="V816" s="5" t="s">
        <v>398</v>
      </c>
      <c r="W816" s="4">
        <v>1526</v>
      </c>
      <c r="X816" s="4">
        <v>49950</v>
      </c>
      <c r="Y816" s="14">
        <v>43075</v>
      </c>
      <c r="Z816" s="14">
        <v>45371</v>
      </c>
      <c r="AA816" s="2"/>
      <c r="AB816" s="69" t="s">
        <v>3892</v>
      </c>
      <c r="AC816" s="5" t="s">
        <v>7</v>
      </c>
      <c r="AD816" s="84" t="s">
        <v>1921</v>
      </c>
      <c r="AE816" s="10"/>
      <c r="AF816" s="23"/>
      <c r="AG816" s="14">
        <v>45005</v>
      </c>
      <c r="AH816" s="5" t="s">
        <v>2</v>
      </c>
      <c r="AI816" s="5" t="s">
        <v>401</v>
      </c>
      <c r="AJ816" s="5" t="s">
        <v>824</v>
      </c>
      <c r="AK816" s="21" t="s">
        <v>2</v>
      </c>
      <c r="AL816" s="72" t="s">
        <v>2745</v>
      </c>
      <c r="AM816" s="54" t="s">
        <v>4179</v>
      </c>
      <c r="AN816" s="34" t="s">
        <v>1170</v>
      </c>
    </row>
    <row r="817" spans="2:40" x14ac:dyDescent="0.3">
      <c r="B817" s="18" t="s">
        <v>1517</v>
      </c>
      <c r="C817" s="47" t="s">
        <v>2641</v>
      </c>
      <c r="D817" s="15" t="s">
        <v>3267</v>
      </c>
      <c r="E817" s="68" t="s">
        <v>2</v>
      </c>
      <c r="F817" s="55" t="s">
        <v>2</v>
      </c>
      <c r="G817" s="40" t="s">
        <v>1921</v>
      </c>
      <c r="H817" s="71" t="s">
        <v>2745</v>
      </c>
      <c r="I817" s="67" t="s">
        <v>3660</v>
      </c>
      <c r="J817" s="73" t="s">
        <v>270</v>
      </c>
      <c r="K817" s="4">
        <v>4999887</v>
      </c>
      <c r="L817" s="41">
        <v>98.853999999999999</v>
      </c>
      <c r="M817" s="4">
        <v>4942675</v>
      </c>
      <c r="N817" s="4">
        <v>5000000</v>
      </c>
      <c r="O817" s="4">
        <v>4999899</v>
      </c>
      <c r="P817" s="4">
        <v>0</v>
      </c>
      <c r="Q817" s="4">
        <v>4</v>
      </c>
      <c r="R817" s="4">
        <v>0</v>
      </c>
      <c r="S817" s="4">
        <v>0</v>
      </c>
      <c r="T817" s="23">
        <v>4</v>
      </c>
      <c r="U817" s="23">
        <v>4.0330000000000004</v>
      </c>
      <c r="V817" s="5" t="s">
        <v>398</v>
      </c>
      <c r="W817" s="4">
        <v>5556</v>
      </c>
      <c r="X817" s="4">
        <v>200000</v>
      </c>
      <c r="Y817" s="14">
        <v>43214</v>
      </c>
      <c r="Z817" s="14">
        <v>45555</v>
      </c>
      <c r="AA817" s="2"/>
      <c r="AB817" s="69" t="s">
        <v>3892</v>
      </c>
      <c r="AC817" s="5" t="s">
        <v>7</v>
      </c>
      <c r="AD817" s="84" t="s">
        <v>1921</v>
      </c>
      <c r="AE817" s="6"/>
      <c r="AF817" s="23"/>
      <c r="AG817" s="14">
        <v>45190</v>
      </c>
      <c r="AH817" s="5" t="s">
        <v>2</v>
      </c>
      <c r="AI817" s="5" t="s">
        <v>401</v>
      </c>
      <c r="AJ817" s="5" t="s">
        <v>824</v>
      </c>
      <c r="AK817" s="21" t="s">
        <v>2</v>
      </c>
      <c r="AL817" s="72" t="s">
        <v>2745</v>
      </c>
      <c r="AM817" s="54" t="s">
        <v>4179</v>
      </c>
      <c r="AN817" s="34" t="s">
        <v>1170</v>
      </c>
    </row>
    <row r="818" spans="2:40" x14ac:dyDescent="0.3">
      <c r="B818" s="18" t="s">
        <v>2642</v>
      </c>
      <c r="C818" s="47" t="s">
        <v>2431</v>
      </c>
      <c r="D818" s="15" t="s">
        <v>3267</v>
      </c>
      <c r="E818" s="68" t="s">
        <v>2</v>
      </c>
      <c r="F818" s="55" t="s">
        <v>2</v>
      </c>
      <c r="G818" s="40" t="s">
        <v>1921</v>
      </c>
      <c r="H818" s="71" t="s">
        <v>2745</v>
      </c>
      <c r="I818" s="67" t="s">
        <v>3408</v>
      </c>
      <c r="J818" s="73" t="s">
        <v>270</v>
      </c>
      <c r="K818" s="4">
        <v>3998586</v>
      </c>
      <c r="L818" s="41">
        <v>96.638999999999996</v>
      </c>
      <c r="M818" s="4">
        <v>3865543</v>
      </c>
      <c r="N818" s="4">
        <v>4000000</v>
      </c>
      <c r="O818" s="4">
        <v>3999388</v>
      </c>
      <c r="P818" s="4">
        <v>0</v>
      </c>
      <c r="Q818" s="4">
        <v>229</v>
      </c>
      <c r="R818" s="4">
        <v>0</v>
      </c>
      <c r="S818" s="4">
        <v>0</v>
      </c>
      <c r="T818" s="23">
        <v>3.35</v>
      </c>
      <c r="U818" s="23">
        <v>3.38</v>
      </c>
      <c r="V818" s="5" t="s">
        <v>398</v>
      </c>
      <c r="W818" s="4">
        <v>4094</v>
      </c>
      <c r="X818" s="4">
        <v>134000</v>
      </c>
      <c r="Y818" s="14">
        <v>43571</v>
      </c>
      <c r="Z818" s="14">
        <v>45922</v>
      </c>
      <c r="AA818" s="2"/>
      <c r="AB818" s="69" t="s">
        <v>3892</v>
      </c>
      <c r="AC818" s="5" t="s">
        <v>7</v>
      </c>
      <c r="AD818" s="84" t="s">
        <v>1921</v>
      </c>
      <c r="AE818" s="6"/>
      <c r="AF818" s="23"/>
      <c r="AG818" s="14">
        <v>45555</v>
      </c>
      <c r="AH818" s="5" t="s">
        <v>2</v>
      </c>
      <c r="AI818" s="5" t="s">
        <v>401</v>
      </c>
      <c r="AJ818" s="5" t="s">
        <v>824</v>
      </c>
      <c r="AK818" s="21" t="s">
        <v>2</v>
      </c>
      <c r="AL818" s="72" t="s">
        <v>2745</v>
      </c>
      <c r="AM818" s="54" t="s">
        <v>4179</v>
      </c>
      <c r="AN818" s="34" t="s">
        <v>2278</v>
      </c>
    </row>
    <row r="819" spans="2:40" x14ac:dyDescent="0.3">
      <c r="B819" s="18" t="s">
        <v>3779</v>
      </c>
      <c r="C819" s="47" t="s">
        <v>2432</v>
      </c>
      <c r="D819" s="15" t="s">
        <v>3267</v>
      </c>
      <c r="E819" s="68" t="s">
        <v>2</v>
      </c>
      <c r="F819" s="55" t="s">
        <v>2</v>
      </c>
      <c r="G819" s="40" t="s">
        <v>1921</v>
      </c>
      <c r="H819" s="71" t="s">
        <v>2745</v>
      </c>
      <c r="I819" s="67" t="s">
        <v>3660</v>
      </c>
      <c r="J819" s="73" t="s">
        <v>270</v>
      </c>
      <c r="K819" s="4">
        <v>2999351</v>
      </c>
      <c r="L819" s="41">
        <v>95.308999999999997</v>
      </c>
      <c r="M819" s="4">
        <v>2859275</v>
      </c>
      <c r="N819" s="4">
        <v>3000000</v>
      </c>
      <c r="O819" s="4">
        <v>2999659</v>
      </c>
      <c r="P819" s="4">
        <v>0</v>
      </c>
      <c r="Q819" s="4">
        <v>90</v>
      </c>
      <c r="R819" s="4">
        <v>0</v>
      </c>
      <c r="S819" s="4">
        <v>0</v>
      </c>
      <c r="T819" s="23">
        <v>3.55</v>
      </c>
      <c r="U819" s="23">
        <v>3.58</v>
      </c>
      <c r="V819" s="5" t="s">
        <v>398</v>
      </c>
      <c r="W819" s="4">
        <v>3254</v>
      </c>
      <c r="X819" s="4">
        <v>106500</v>
      </c>
      <c r="Y819" s="14">
        <v>43571</v>
      </c>
      <c r="Z819" s="14">
        <v>45922</v>
      </c>
      <c r="AA819" s="2"/>
      <c r="AB819" s="69" t="s">
        <v>3892</v>
      </c>
      <c r="AC819" s="5" t="s">
        <v>7</v>
      </c>
      <c r="AD819" s="84" t="s">
        <v>1921</v>
      </c>
      <c r="AE819" s="10"/>
      <c r="AF819" s="23"/>
      <c r="AG819" s="14">
        <v>45555</v>
      </c>
      <c r="AH819" s="5" t="s">
        <v>2</v>
      </c>
      <c r="AI819" s="5" t="s">
        <v>401</v>
      </c>
      <c r="AJ819" s="5" t="s">
        <v>824</v>
      </c>
      <c r="AK819" s="21" t="s">
        <v>2</v>
      </c>
      <c r="AL819" s="72" t="s">
        <v>2745</v>
      </c>
      <c r="AM819" s="54" t="s">
        <v>4179</v>
      </c>
      <c r="AN819" s="34" t="s">
        <v>1170</v>
      </c>
    </row>
    <row r="820" spans="2:40" x14ac:dyDescent="0.3">
      <c r="B820" s="18" t="s">
        <v>650</v>
      </c>
      <c r="C820" s="47" t="s">
        <v>1789</v>
      </c>
      <c r="D820" s="15" t="s">
        <v>3267</v>
      </c>
      <c r="E820" s="68" t="s">
        <v>2</v>
      </c>
      <c r="F820" s="55" t="s">
        <v>2</v>
      </c>
      <c r="G820" s="40" t="s">
        <v>3894</v>
      </c>
      <c r="H820" s="71" t="s">
        <v>2745</v>
      </c>
      <c r="I820" s="67" t="s">
        <v>3408</v>
      </c>
      <c r="J820" s="73" t="s">
        <v>270</v>
      </c>
      <c r="K820" s="4">
        <v>7499549</v>
      </c>
      <c r="L820" s="41">
        <v>86.644999999999996</v>
      </c>
      <c r="M820" s="4">
        <v>6498354</v>
      </c>
      <c r="N820" s="4">
        <v>7500000</v>
      </c>
      <c r="O820" s="4">
        <v>7499645</v>
      </c>
      <c r="P820" s="4">
        <v>0</v>
      </c>
      <c r="Q820" s="4">
        <v>86</v>
      </c>
      <c r="R820" s="4">
        <v>0</v>
      </c>
      <c r="S820" s="4">
        <v>0</v>
      </c>
      <c r="T820" s="23">
        <v>1.66</v>
      </c>
      <c r="U820" s="23">
        <v>1.667</v>
      </c>
      <c r="V820" s="5" t="s">
        <v>398</v>
      </c>
      <c r="W820" s="4">
        <v>3804</v>
      </c>
      <c r="X820" s="4">
        <v>124500</v>
      </c>
      <c r="Y820" s="14">
        <v>44509</v>
      </c>
      <c r="Z820" s="14">
        <v>46803</v>
      </c>
      <c r="AA820" s="2"/>
      <c r="AB820" s="69" t="s">
        <v>3892</v>
      </c>
      <c r="AC820" s="5" t="s">
        <v>7</v>
      </c>
      <c r="AD820" s="84" t="s">
        <v>1921</v>
      </c>
      <c r="AE820" s="14">
        <v>46438</v>
      </c>
      <c r="AF820" s="23">
        <v>100</v>
      </c>
      <c r="AG820" s="14">
        <v>46438</v>
      </c>
      <c r="AH820" s="5" t="s">
        <v>2</v>
      </c>
      <c r="AI820" s="5" t="s">
        <v>401</v>
      </c>
      <c r="AJ820" s="5" t="s">
        <v>824</v>
      </c>
      <c r="AK820" s="21" t="s">
        <v>2</v>
      </c>
      <c r="AL820" s="72" t="s">
        <v>2745</v>
      </c>
      <c r="AM820" s="54" t="s">
        <v>4179</v>
      </c>
      <c r="AN820" s="34" t="s">
        <v>2278</v>
      </c>
    </row>
    <row r="821" spans="2:40" x14ac:dyDescent="0.3">
      <c r="B821" s="18" t="s">
        <v>1790</v>
      </c>
      <c r="C821" s="47" t="s">
        <v>4407</v>
      </c>
      <c r="D821" s="15" t="s">
        <v>3267</v>
      </c>
      <c r="E821" s="68" t="s">
        <v>2</v>
      </c>
      <c r="F821" s="55" t="s">
        <v>2</v>
      </c>
      <c r="G821" s="40" t="s">
        <v>3894</v>
      </c>
      <c r="H821" s="71" t="s">
        <v>2745</v>
      </c>
      <c r="I821" s="67" t="s">
        <v>287</v>
      </c>
      <c r="J821" s="73" t="s">
        <v>270</v>
      </c>
      <c r="K821" s="4">
        <v>9995482</v>
      </c>
      <c r="L821" s="41">
        <v>84.703999999999994</v>
      </c>
      <c r="M821" s="4">
        <v>8470424</v>
      </c>
      <c r="N821" s="4">
        <v>10000000</v>
      </c>
      <c r="O821" s="4">
        <v>9996447</v>
      </c>
      <c r="P821" s="4">
        <v>0</v>
      </c>
      <c r="Q821" s="4">
        <v>862</v>
      </c>
      <c r="R821" s="4">
        <v>0</v>
      </c>
      <c r="S821" s="4">
        <v>0</v>
      </c>
      <c r="T821" s="23">
        <v>1.9</v>
      </c>
      <c r="U821" s="23">
        <v>1.917</v>
      </c>
      <c r="V821" s="5" t="s">
        <v>398</v>
      </c>
      <c r="W821" s="4">
        <v>5806</v>
      </c>
      <c r="X821" s="4">
        <v>190000</v>
      </c>
      <c r="Y821" s="14">
        <v>44509</v>
      </c>
      <c r="Z821" s="14">
        <v>46803</v>
      </c>
      <c r="AA821" s="2"/>
      <c r="AB821" s="69" t="s">
        <v>3892</v>
      </c>
      <c r="AC821" s="5" t="s">
        <v>7</v>
      </c>
      <c r="AD821" s="84" t="s">
        <v>1921</v>
      </c>
      <c r="AE821" s="14">
        <v>46438</v>
      </c>
      <c r="AF821" s="23">
        <v>100</v>
      </c>
      <c r="AG821" s="14">
        <v>46438</v>
      </c>
      <c r="AH821" s="5" t="s">
        <v>2</v>
      </c>
      <c r="AI821" s="5" t="s">
        <v>401</v>
      </c>
      <c r="AJ821" s="5" t="s">
        <v>824</v>
      </c>
      <c r="AK821" s="21" t="s">
        <v>2</v>
      </c>
      <c r="AL821" s="72" t="s">
        <v>2745</v>
      </c>
      <c r="AM821" s="54" t="s">
        <v>4179</v>
      </c>
      <c r="AN821" s="34" t="s">
        <v>819</v>
      </c>
    </row>
    <row r="822" spans="2:40" x14ac:dyDescent="0.3">
      <c r="B822" s="18" t="s">
        <v>2910</v>
      </c>
      <c r="C822" s="47" t="s">
        <v>4408</v>
      </c>
      <c r="D822" s="15" t="s">
        <v>3267</v>
      </c>
      <c r="E822" s="68" t="s">
        <v>2</v>
      </c>
      <c r="F822" s="55" t="s">
        <v>2</v>
      </c>
      <c r="G822" s="40" t="s">
        <v>3894</v>
      </c>
      <c r="H822" s="71" t="s">
        <v>3894</v>
      </c>
      <c r="I822" s="67" t="s">
        <v>1164</v>
      </c>
      <c r="J822" s="73" t="s">
        <v>270</v>
      </c>
      <c r="K822" s="4">
        <v>6998197</v>
      </c>
      <c r="L822" s="41">
        <v>82.802000000000007</v>
      </c>
      <c r="M822" s="4">
        <v>5796153</v>
      </c>
      <c r="N822" s="4">
        <v>7000000</v>
      </c>
      <c r="O822" s="4">
        <v>6998577</v>
      </c>
      <c r="P822" s="4">
        <v>0</v>
      </c>
      <c r="Q822" s="4">
        <v>341</v>
      </c>
      <c r="R822" s="4">
        <v>0</v>
      </c>
      <c r="S822" s="4">
        <v>0</v>
      </c>
      <c r="T822" s="23">
        <v>2.35</v>
      </c>
      <c r="U822" s="23">
        <v>2.367</v>
      </c>
      <c r="V822" s="5" t="s">
        <v>398</v>
      </c>
      <c r="W822" s="4">
        <v>5026</v>
      </c>
      <c r="X822" s="4">
        <v>164500</v>
      </c>
      <c r="Y822" s="14">
        <v>44509</v>
      </c>
      <c r="Z822" s="14">
        <v>46803</v>
      </c>
      <c r="AA822" s="2"/>
      <c r="AB822" s="69" t="s">
        <v>3892</v>
      </c>
      <c r="AC822" s="5" t="s">
        <v>7</v>
      </c>
      <c r="AD822" s="84" t="s">
        <v>1921</v>
      </c>
      <c r="AE822" s="14">
        <v>46438</v>
      </c>
      <c r="AF822" s="23">
        <v>100</v>
      </c>
      <c r="AG822" s="14">
        <v>46438</v>
      </c>
      <c r="AH822" s="5" t="s">
        <v>2</v>
      </c>
      <c r="AI822" s="5" t="s">
        <v>401</v>
      </c>
      <c r="AJ822" s="5" t="s">
        <v>824</v>
      </c>
      <c r="AK822" s="21" t="s">
        <v>2</v>
      </c>
      <c r="AL822" s="72" t="s">
        <v>2745</v>
      </c>
      <c r="AM822" s="54" t="s">
        <v>4179</v>
      </c>
      <c r="AN822" s="34" t="s">
        <v>828</v>
      </c>
    </row>
    <row r="823" spans="2:40" x14ac:dyDescent="0.3">
      <c r="B823" s="18" t="s">
        <v>402</v>
      </c>
      <c r="C823" s="47" t="s">
        <v>1308</v>
      </c>
      <c r="D823" s="15" t="s">
        <v>4409</v>
      </c>
      <c r="E823" s="68" t="s">
        <v>2</v>
      </c>
      <c r="F823" s="55" t="s">
        <v>2</v>
      </c>
      <c r="G823" s="40" t="s">
        <v>1921</v>
      </c>
      <c r="H823" s="71" t="s">
        <v>2745</v>
      </c>
      <c r="I823" s="67" t="s">
        <v>287</v>
      </c>
      <c r="J823" s="73" t="s">
        <v>270</v>
      </c>
      <c r="K823" s="4">
        <v>109106</v>
      </c>
      <c r="L823" s="41">
        <v>96.238</v>
      </c>
      <c r="M823" s="4">
        <v>108109</v>
      </c>
      <c r="N823" s="4">
        <v>112335</v>
      </c>
      <c r="O823" s="4">
        <v>111337</v>
      </c>
      <c r="P823" s="4">
        <v>0</v>
      </c>
      <c r="Q823" s="4">
        <v>511</v>
      </c>
      <c r="R823" s="4">
        <v>0</v>
      </c>
      <c r="S823" s="4">
        <v>0</v>
      </c>
      <c r="T823" s="23">
        <v>2.88</v>
      </c>
      <c r="U823" s="23">
        <v>3.8029999999999999</v>
      </c>
      <c r="V823" s="5" t="s">
        <v>398</v>
      </c>
      <c r="W823" s="4">
        <v>261</v>
      </c>
      <c r="X823" s="4">
        <v>3235</v>
      </c>
      <c r="Y823" s="14">
        <v>43446</v>
      </c>
      <c r="Z823" s="14">
        <v>47605</v>
      </c>
      <c r="AA823" s="2"/>
      <c r="AB823" s="69" t="s">
        <v>3892</v>
      </c>
      <c r="AC823" s="5" t="s">
        <v>3563</v>
      </c>
      <c r="AD823" s="84" t="s">
        <v>161</v>
      </c>
      <c r="AE823" s="10"/>
      <c r="AF823" s="23"/>
      <c r="AG823" s="14">
        <v>45628</v>
      </c>
      <c r="AH823" s="5" t="s">
        <v>2911</v>
      </c>
      <c r="AI823" s="5" t="s">
        <v>1791</v>
      </c>
      <c r="AJ823" s="5" t="s">
        <v>824</v>
      </c>
      <c r="AK823" s="21" t="s">
        <v>2</v>
      </c>
      <c r="AL823" s="72" t="s">
        <v>2745</v>
      </c>
      <c r="AM823" s="54" t="s">
        <v>4179</v>
      </c>
      <c r="AN823" s="34" t="s">
        <v>819</v>
      </c>
    </row>
    <row r="824" spans="2:40" x14ac:dyDescent="0.3">
      <c r="B824" s="18" t="s">
        <v>1518</v>
      </c>
      <c r="C824" s="47" t="s">
        <v>163</v>
      </c>
      <c r="D824" s="15" t="s">
        <v>4047</v>
      </c>
      <c r="E824" s="68" t="s">
        <v>2</v>
      </c>
      <c r="F824" s="55" t="s">
        <v>2</v>
      </c>
      <c r="G824" s="40" t="s">
        <v>3894</v>
      </c>
      <c r="H824" s="71" t="s">
        <v>2745</v>
      </c>
      <c r="I824" s="67" t="s">
        <v>3408</v>
      </c>
      <c r="J824" s="73" t="s">
        <v>270</v>
      </c>
      <c r="K824" s="4">
        <v>3064299</v>
      </c>
      <c r="L824" s="41">
        <v>90.114999999999995</v>
      </c>
      <c r="M824" s="4">
        <v>2761635</v>
      </c>
      <c r="N824" s="4">
        <v>3064583</v>
      </c>
      <c r="O824" s="4">
        <v>3064367</v>
      </c>
      <c r="P824" s="4">
        <v>0</v>
      </c>
      <c r="Q824" s="4">
        <v>32</v>
      </c>
      <c r="R824" s="4">
        <v>0</v>
      </c>
      <c r="S824" s="4">
        <v>0</v>
      </c>
      <c r="T824" s="23">
        <v>1.55</v>
      </c>
      <c r="U824" s="23">
        <v>1.5569999999999999</v>
      </c>
      <c r="V824" s="5" t="s">
        <v>398</v>
      </c>
      <c r="W824" s="4">
        <v>396</v>
      </c>
      <c r="X824" s="4">
        <v>47501</v>
      </c>
      <c r="Y824" s="14">
        <v>44105</v>
      </c>
      <c r="Z824" s="14">
        <v>49733</v>
      </c>
      <c r="AA824" s="2"/>
      <c r="AB824" s="69" t="s">
        <v>3892</v>
      </c>
      <c r="AC824" s="5" t="s">
        <v>7</v>
      </c>
      <c r="AD824" s="84" t="s">
        <v>1921</v>
      </c>
      <c r="AE824" s="14">
        <v>46719</v>
      </c>
      <c r="AF824" s="23">
        <v>100</v>
      </c>
      <c r="AG824" s="14">
        <v>47450</v>
      </c>
      <c r="AH824" s="5" t="s">
        <v>2</v>
      </c>
      <c r="AI824" s="5" t="s">
        <v>1791</v>
      </c>
      <c r="AJ824" s="5" t="s">
        <v>1997</v>
      </c>
      <c r="AK824" s="21" t="s">
        <v>2</v>
      </c>
      <c r="AL824" s="72" t="s">
        <v>2745</v>
      </c>
      <c r="AM824" s="54" t="s">
        <v>4179</v>
      </c>
      <c r="AN824" s="34" t="s">
        <v>2278</v>
      </c>
    </row>
    <row r="825" spans="2:40" x14ac:dyDescent="0.3">
      <c r="B825" s="18" t="s">
        <v>2643</v>
      </c>
      <c r="C825" s="47" t="s">
        <v>4410</v>
      </c>
      <c r="D825" s="15" t="s">
        <v>4409</v>
      </c>
      <c r="E825" s="68" t="s">
        <v>2</v>
      </c>
      <c r="F825" s="55" t="s">
        <v>2</v>
      </c>
      <c r="G825" s="40" t="s">
        <v>3894</v>
      </c>
      <c r="H825" s="71" t="s">
        <v>2745</v>
      </c>
      <c r="I825" s="67" t="s">
        <v>1414</v>
      </c>
      <c r="J825" s="73" t="s">
        <v>270</v>
      </c>
      <c r="K825" s="4">
        <v>1267866</v>
      </c>
      <c r="L825" s="41">
        <v>90.867999999999995</v>
      </c>
      <c r="M825" s="4">
        <v>1152263</v>
      </c>
      <c r="N825" s="4">
        <v>1268059</v>
      </c>
      <c r="O825" s="4">
        <v>1267911</v>
      </c>
      <c r="P825" s="4">
        <v>0</v>
      </c>
      <c r="Q825" s="4">
        <v>21</v>
      </c>
      <c r="R825" s="4">
        <v>0</v>
      </c>
      <c r="S825" s="4">
        <v>0</v>
      </c>
      <c r="T825" s="23">
        <v>2.4900000000000002</v>
      </c>
      <c r="U825" s="23">
        <v>2.5059999999999998</v>
      </c>
      <c r="V825" s="5" t="s">
        <v>398</v>
      </c>
      <c r="W825" s="4">
        <v>263</v>
      </c>
      <c r="X825" s="4">
        <v>31575</v>
      </c>
      <c r="Y825" s="14">
        <v>44105</v>
      </c>
      <c r="Z825" s="14">
        <v>49733</v>
      </c>
      <c r="AA825" s="2"/>
      <c r="AB825" s="69" t="s">
        <v>3892</v>
      </c>
      <c r="AC825" s="5" t="s">
        <v>7</v>
      </c>
      <c r="AD825" s="84" t="s">
        <v>1921</v>
      </c>
      <c r="AE825" s="14">
        <v>46719</v>
      </c>
      <c r="AF825" s="23">
        <v>100</v>
      </c>
      <c r="AG825" s="14">
        <v>47450</v>
      </c>
      <c r="AH825" s="5" t="s">
        <v>2</v>
      </c>
      <c r="AI825" s="5" t="s">
        <v>1791</v>
      </c>
      <c r="AJ825" s="5" t="s">
        <v>824</v>
      </c>
      <c r="AK825" s="21" t="s">
        <v>2</v>
      </c>
      <c r="AL825" s="72" t="s">
        <v>2745</v>
      </c>
      <c r="AM825" s="54" t="s">
        <v>4179</v>
      </c>
      <c r="AN825" s="34" t="s">
        <v>512</v>
      </c>
    </row>
    <row r="826" spans="2:40" x14ac:dyDescent="0.3">
      <c r="B826" s="18" t="s">
        <v>3780</v>
      </c>
      <c r="C826" s="47" t="s">
        <v>1792</v>
      </c>
      <c r="D826" s="15" t="s">
        <v>3781</v>
      </c>
      <c r="E826" s="68" t="s">
        <v>2</v>
      </c>
      <c r="F826" s="55" t="s">
        <v>2</v>
      </c>
      <c r="G826" s="40" t="s">
        <v>3894</v>
      </c>
      <c r="H826" s="71" t="s">
        <v>2745</v>
      </c>
      <c r="I826" s="67" t="s">
        <v>287</v>
      </c>
      <c r="J826" s="73" t="s">
        <v>270</v>
      </c>
      <c r="K826" s="4">
        <v>11257601</v>
      </c>
      <c r="L826" s="41">
        <v>84.844999999999999</v>
      </c>
      <c r="M826" s="4">
        <v>9555693</v>
      </c>
      <c r="N826" s="4">
        <v>11262500</v>
      </c>
      <c r="O826" s="4">
        <v>11258187</v>
      </c>
      <c r="P826" s="4">
        <v>0</v>
      </c>
      <c r="Q826" s="4">
        <v>468</v>
      </c>
      <c r="R826" s="4">
        <v>0</v>
      </c>
      <c r="S826" s="4">
        <v>0</v>
      </c>
      <c r="T826" s="23">
        <v>2.25</v>
      </c>
      <c r="U826" s="23">
        <v>2.27</v>
      </c>
      <c r="V826" s="5" t="s">
        <v>398</v>
      </c>
      <c r="W826" s="4">
        <v>7743</v>
      </c>
      <c r="X826" s="4">
        <v>253409</v>
      </c>
      <c r="Y826" s="14">
        <v>44497</v>
      </c>
      <c r="Z826" s="14">
        <v>53622</v>
      </c>
      <c r="AA826" s="2"/>
      <c r="AB826" s="69" t="s">
        <v>3892</v>
      </c>
      <c r="AC826" s="5" t="s">
        <v>7</v>
      </c>
      <c r="AD826" s="84" t="s">
        <v>3564</v>
      </c>
      <c r="AE826" s="14">
        <v>45250</v>
      </c>
      <c r="AF826" s="23">
        <v>100</v>
      </c>
      <c r="AG826" s="14">
        <v>48141</v>
      </c>
      <c r="AH826" s="5" t="s">
        <v>2</v>
      </c>
      <c r="AI826" s="5" t="s">
        <v>1007</v>
      </c>
      <c r="AJ826" s="5" t="s">
        <v>824</v>
      </c>
      <c r="AK826" s="21" t="s">
        <v>2</v>
      </c>
      <c r="AL826" s="72" t="s">
        <v>2745</v>
      </c>
      <c r="AM826" s="54" t="s">
        <v>4179</v>
      </c>
      <c r="AN826" s="34" t="s">
        <v>819</v>
      </c>
    </row>
    <row r="827" spans="2:40" x14ac:dyDescent="0.3">
      <c r="B827" s="18" t="s">
        <v>403</v>
      </c>
      <c r="C827" s="47" t="s">
        <v>3268</v>
      </c>
      <c r="D827" s="15" t="s">
        <v>4409</v>
      </c>
      <c r="E827" s="68" t="s">
        <v>2</v>
      </c>
      <c r="F827" s="55" t="s">
        <v>2</v>
      </c>
      <c r="G827" s="40" t="s">
        <v>2</v>
      </c>
      <c r="H827" s="71" t="s">
        <v>2745</v>
      </c>
      <c r="I827" s="67" t="s">
        <v>3408</v>
      </c>
      <c r="J827" s="73" t="s">
        <v>270</v>
      </c>
      <c r="K827" s="4">
        <v>3305001</v>
      </c>
      <c r="L827" s="41">
        <v>95.307000000000002</v>
      </c>
      <c r="M827" s="4">
        <v>3150574</v>
      </c>
      <c r="N827" s="4">
        <v>3305722</v>
      </c>
      <c r="O827" s="4">
        <v>3305049</v>
      </c>
      <c r="P827" s="4">
        <v>0</v>
      </c>
      <c r="Q827" s="4">
        <v>48</v>
      </c>
      <c r="R827" s="4">
        <v>0</v>
      </c>
      <c r="S827" s="4">
        <v>0</v>
      </c>
      <c r="T827" s="23">
        <v>4.12</v>
      </c>
      <c r="U827" s="23">
        <v>4.1609999999999996</v>
      </c>
      <c r="V827" s="5" t="s">
        <v>398</v>
      </c>
      <c r="W827" s="4">
        <v>1135</v>
      </c>
      <c r="X827" s="4">
        <v>91388</v>
      </c>
      <c r="Y827" s="14">
        <v>44673</v>
      </c>
      <c r="Z827" s="14">
        <v>50311</v>
      </c>
      <c r="AA827" s="2"/>
      <c r="AB827" s="69" t="s">
        <v>3892</v>
      </c>
      <c r="AC827" s="5" t="s">
        <v>7</v>
      </c>
      <c r="AD827" s="84" t="s">
        <v>1921</v>
      </c>
      <c r="AE827" s="10"/>
      <c r="AF827" s="23"/>
      <c r="AG827" s="14">
        <v>48057</v>
      </c>
      <c r="AH827" s="5" t="s">
        <v>2</v>
      </c>
      <c r="AI827" s="5" t="s">
        <v>1791</v>
      </c>
      <c r="AJ827" s="5" t="s">
        <v>824</v>
      </c>
      <c r="AK827" s="21" t="s">
        <v>2</v>
      </c>
      <c r="AL827" s="72" t="s">
        <v>3894</v>
      </c>
      <c r="AM827" s="54" t="s">
        <v>4179</v>
      </c>
      <c r="AN827" s="34" t="s">
        <v>2278</v>
      </c>
    </row>
    <row r="828" spans="2:40" x14ac:dyDescent="0.3">
      <c r="B828" s="18" t="s">
        <v>1519</v>
      </c>
      <c r="C828" s="47" t="s">
        <v>3269</v>
      </c>
      <c r="D828" s="15" t="s">
        <v>4409</v>
      </c>
      <c r="E828" s="68" t="s">
        <v>2</v>
      </c>
      <c r="F828" s="55" t="s">
        <v>2</v>
      </c>
      <c r="G828" s="40" t="s">
        <v>2</v>
      </c>
      <c r="H828" s="71" t="s">
        <v>2745</v>
      </c>
      <c r="I828" s="67" t="s">
        <v>1414</v>
      </c>
      <c r="J828" s="73" t="s">
        <v>270</v>
      </c>
      <c r="K828" s="4">
        <v>1239345</v>
      </c>
      <c r="L828" s="41">
        <v>94.739000000000004</v>
      </c>
      <c r="M828" s="4">
        <v>1174427</v>
      </c>
      <c r="N828" s="4">
        <v>1239648</v>
      </c>
      <c r="O828" s="4">
        <v>1239383</v>
      </c>
      <c r="P828" s="4">
        <v>0</v>
      </c>
      <c r="Q828" s="4">
        <v>38</v>
      </c>
      <c r="R828" s="4">
        <v>0</v>
      </c>
      <c r="S828" s="4">
        <v>0</v>
      </c>
      <c r="T828" s="23">
        <v>4.6100000000000003</v>
      </c>
      <c r="U828" s="23">
        <v>4.66</v>
      </c>
      <c r="V828" s="5" t="s">
        <v>398</v>
      </c>
      <c r="W828" s="4">
        <v>476</v>
      </c>
      <c r="X828" s="4">
        <v>38575</v>
      </c>
      <c r="Y828" s="14">
        <v>44673</v>
      </c>
      <c r="Z828" s="14">
        <v>50311</v>
      </c>
      <c r="AA828" s="2"/>
      <c r="AB828" s="69" t="s">
        <v>3892</v>
      </c>
      <c r="AC828" s="5" t="s">
        <v>7</v>
      </c>
      <c r="AD828" s="84" t="s">
        <v>1921</v>
      </c>
      <c r="AE828" s="10"/>
      <c r="AF828" s="23"/>
      <c r="AG828" s="14">
        <v>48057</v>
      </c>
      <c r="AH828" s="5" t="s">
        <v>2</v>
      </c>
      <c r="AI828" s="5" t="s">
        <v>1791</v>
      </c>
      <c r="AJ828" s="5" t="s">
        <v>824</v>
      </c>
      <c r="AK828" s="21" t="s">
        <v>2</v>
      </c>
      <c r="AL828" s="72" t="s">
        <v>825</v>
      </c>
      <c r="AM828" s="54" t="s">
        <v>4179</v>
      </c>
      <c r="AN828" s="34" t="s">
        <v>512</v>
      </c>
    </row>
    <row r="829" spans="2:40" x14ac:dyDescent="0.3">
      <c r="B829" s="18" t="s">
        <v>2912</v>
      </c>
      <c r="C829" s="47" t="s">
        <v>404</v>
      </c>
      <c r="D829" s="15" t="s">
        <v>405</v>
      </c>
      <c r="E829" s="68" t="s">
        <v>2</v>
      </c>
      <c r="F829" s="55" t="s">
        <v>2</v>
      </c>
      <c r="G829" s="40" t="s">
        <v>3894</v>
      </c>
      <c r="H829" s="71" t="s">
        <v>2745</v>
      </c>
      <c r="I829" s="67" t="s">
        <v>1164</v>
      </c>
      <c r="J829" s="73" t="s">
        <v>270</v>
      </c>
      <c r="K829" s="4">
        <v>3499527</v>
      </c>
      <c r="L829" s="41">
        <v>95.486999999999995</v>
      </c>
      <c r="M829" s="4">
        <v>3342044</v>
      </c>
      <c r="N829" s="4">
        <v>3500000</v>
      </c>
      <c r="O829" s="4">
        <v>3499797</v>
      </c>
      <c r="P829" s="4">
        <v>0</v>
      </c>
      <c r="Q829" s="4">
        <v>115</v>
      </c>
      <c r="R829" s="4">
        <v>0</v>
      </c>
      <c r="S829" s="4">
        <v>0</v>
      </c>
      <c r="T829" s="23">
        <v>1.84</v>
      </c>
      <c r="U829" s="23">
        <v>1.851</v>
      </c>
      <c r="V829" s="5" t="s">
        <v>398</v>
      </c>
      <c r="W829" s="4">
        <v>3041</v>
      </c>
      <c r="X829" s="4">
        <v>64400</v>
      </c>
      <c r="Y829" s="14">
        <v>44047</v>
      </c>
      <c r="Z829" s="14">
        <v>46735</v>
      </c>
      <c r="AA829" s="2"/>
      <c r="AB829" s="69" t="s">
        <v>3892</v>
      </c>
      <c r="AC829" s="5" t="s">
        <v>7</v>
      </c>
      <c r="AD829" s="84" t="s">
        <v>4179</v>
      </c>
      <c r="AE829" s="14">
        <v>45365</v>
      </c>
      <c r="AF829" s="23">
        <v>100</v>
      </c>
      <c r="AG829" s="14">
        <v>45671</v>
      </c>
      <c r="AH829" s="5" t="s">
        <v>2</v>
      </c>
      <c r="AI829" s="5" t="s">
        <v>2433</v>
      </c>
      <c r="AJ829" s="5" t="s">
        <v>824</v>
      </c>
      <c r="AK829" s="21" t="s">
        <v>2</v>
      </c>
      <c r="AL829" s="72" t="s">
        <v>2745</v>
      </c>
      <c r="AM829" s="54" t="s">
        <v>4179</v>
      </c>
      <c r="AN829" s="34" t="s">
        <v>1625</v>
      </c>
    </row>
    <row r="830" spans="2:40" x14ac:dyDescent="0.3">
      <c r="B830" s="18" t="s">
        <v>4048</v>
      </c>
      <c r="C830" s="47" t="s">
        <v>2644</v>
      </c>
      <c r="D830" s="15" t="s">
        <v>4049</v>
      </c>
      <c r="E830" s="68" t="s">
        <v>2</v>
      </c>
      <c r="F830" s="55" t="s">
        <v>2</v>
      </c>
      <c r="G830" s="40" t="s">
        <v>3894</v>
      </c>
      <c r="H830" s="71" t="s">
        <v>2745</v>
      </c>
      <c r="I830" s="67" t="s">
        <v>3408</v>
      </c>
      <c r="J830" s="73" t="s">
        <v>270</v>
      </c>
      <c r="K830" s="4">
        <v>2999858</v>
      </c>
      <c r="L830" s="41">
        <v>98.983000000000004</v>
      </c>
      <c r="M830" s="4">
        <v>2969477</v>
      </c>
      <c r="N830" s="4">
        <v>3000000</v>
      </c>
      <c r="O830" s="4">
        <v>2999906</v>
      </c>
      <c r="P830" s="4">
        <v>0</v>
      </c>
      <c r="Q830" s="4">
        <v>22</v>
      </c>
      <c r="R830" s="4">
        <v>0</v>
      </c>
      <c r="S830" s="4">
        <v>0</v>
      </c>
      <c r="T830" s="23">
        <v>2.5499999999999998</v>
      </c>
      <c r="U830" s="23">
        <v>2.5640000000000001</v>
      </c>
      <c r="V830" s="5" t="s">
        <v>398</v>
      </c>
      <c r="W830" s="4">
        <v>3613</v>
      </c>
      <c r="X830" s="4">
        <v>76500</v>
      </c>
      <c r="Y830" s="14">
        <v>43774</v>
      </c>
      <c r="Z830" s="14">
        <v>46461</v>
      </c>
      <c r="AA830" s="2"/>
      <c r="AB830" s="69" t="s">
        <v>3892</v>
      </c>
      <c r="AC830" s="5" t="s">
        <v>7</v>
      </c>
      <c r="AD830" s="84" t="s">
        <v>4179</v>
      </c>
      <c r="AE830" s="14">
        <v>45091</v>
      </c>
      <c r="AF830" s="23">
        <v>100</v>
      </c>
      <c r="AG830" s="14">
        <v>45336</v>
      </c>
      <c r="AH830" s="5" t="s">
        <v>2</v>
      </c>
      <c r="AI830" s="5" t="s">
        <v>1520</v>
      </c>
      <c r="AJ830" s="5" t="s">
        <v>824</v>
      </c>
      <c r="AK830" s="21" t="s">
        <v>2</v>
      </c>
      <c r="AL830" s="72" t="s">
        <v>2745</v>
      </c>
      <c r="AM830" s="54" t="s">
        <v>4179</v>
      </c>
      <c r="AN830" s="34" t="s">
        <v>2278</v>
      </c>
    </row>
    <row r="831" spans="2:40" x14ac:dyDescent="0.3">
      <c r="B831" s="18" t="s">
        <v>651</v>
      </c>
      <c r="C831" s="47" t="s">
        <v>2645</v>
      </c>
      <c r="D831" s="15" t="s">
        <v>4049</v>
      </c>
      <c r="E831" s="68" t="s">
        <v>2</v>
      </c>
      <c r="F831" s="55" t="s">
        <v>2</v>
      </c>
      <c r="G831" s="40" t="s">
        <v>3894</v>
      </c>
      <c r="H831" s="71" t="s">
        <v>2745</v>
      </c>
      <c r="I831" s="67" t="s">
        <v>1164</v>
      </c>
      <c r="J831" s="73" t="s">
        <v>270</v>
      </c>
      <c r="K831" s="4">
        <v>2418387</v>
      </c>
      <c r="L831" s="41">
        <v>98.826999999999998</v>
      </c>
      <c r="M831" s="4">
        <v>2390632</v>
      </c>
      <c r="N831" s="4">
        <v>2419000</v>
      </c>
      <c r="O831" s="4">
        <v>2418765</v>
      </c>
      <c r="P831" s="4">
        <v>0</v>
      </c>
      <c r="Q831" s="4">
        <v>121</v>
      </c>
      <c r="R831" s="4">
        <v>0</v>
      </c>
      <c r="S831" s="4">
        <v>0</v>
      </c>
      <c r="T831" s="23">
        <v>2.89</v>
      </c>
      <c r="U831" s="23">
        <v>2.9129999999999998</v>
      </c>
      <c r="V831" s="5" t="s">
        <v>398</v>
      </c>
      <c r="W831" s="4">
        <v>3301</v>
      </c>
      <c r="X831" s="4">
        <v>69909</v>
      </c>
      <c r="Y831" s="14">
        <v>43774</v>
      </c>
      <c r="Z831" s="14">
        <v>46461</v>
      </c>
      <c r="AA831" s="2"/>
      <c r="AB831" s="69" t="s">
        <v>3892</v>
      </c>
      <c r="AC831" s="5" t="s">
        <v>7</v>
      </c>
      <c r="AD831" s="84" t="s">
        <v>4179</v>
      </c>
      <c r="AE831" s="14">
        <v>45091</v>
      </c>
      <c r="AF831" s="23">
        <v>100</v>
      </c>
      <c r="AG831" s="14">
        <v>45518</v>
      </c>
      <c r="AH831" s="5" t="s">
        <v>2</v>
      </c>
      <c r="AI831" s="5" t="s">
        <v>1520</v>
      </c>
      <c r="AJ831" s="5" t="s">
        <v>824</v>
      </c>
      <c r="AK831" s="21" t="s">
        <v>2</v>
      </c>
      <c r="AL831" s="72" t="s">
        <v>2745</v>
      </c>
      <c r="AM831" s="54" t="s">
        <v>4179</v>
      </c>
      <c r="AN831" s="34" t="s">
        <v>1625</v>
      </c>
    </row>
    <row r="832" spans="2:40" x14ac:dyDescent="0.3">
      <c r="B832" s="18" t="s">
        <v>1793</v>
      </c>
      <c r="C832" s="47" t="s">
        <v>2136</v>
      </c>
      <c r="D832" s="15" t="s">
        <v>2913</v>
      </c>
      <c r="E832" s="68" t="s">
        <v>2</v>
      </c>
      <c r="F832" s="55" t="s">
        <v>2</v>
      </c>
      <c r="G832" s="40" t="s">
        <v>3894</v>
      </c>
      <c r="H832" s="71" t="s">
        <v>2745</v>
      </c>
      <c r="I832" s="67" t="s">
        <v>8</v>
      </c>
      <c r="J832" s="73" t="s">
        <v>270</v>
      </c>
      <c r="K832" s="4">
        <v>4749043</v>
      </c>
      <c r="L832" s="41">
        <v>92.91</v>
      </c>
      <c r="M832" s="4">
        <v>4413215</v>
      </c>
      <c r="N832" s="4">
        <v>4750000</v>
      </c>
      <c r="O832" s="4">
        <v>4749541</v>
      </c>
      <c r="P832" s="4">
        <v>0</v>
      </c>
      <c r="Q832" s="4">
        <v>255</v>
      </c>
      <c r="R832" s="4">
        <v>0</v>
      </c>
      <c r="S832" s="4">
        <v>0</v>
      </c>
      <c r="T832" s="23">
        <v>0.69</v>
      </c>
      <c r="U832" s="23">
        <v>0.69699999999999995</v>
      </c>
      <c r="V832" s="5" t="s">
        <v>398</v>
      </c>
      <c r="W832" s="4">
        <v>1548</v>
      </c>
      <c r="X832" s="4">
        <v>32775</v>
      </c>
      <c r="Y832" s="14">
        <v>44235</v>
      </c>
      <c r="Z832" s="14">
        <v>46552</v>
      </c>
      <c r="AA832" s="2"/>
      <c r="AB832" s="69" t="s">
        <v>3892</v>
      </c>
      <c r="AC832" s="5" t="s">
        <v>7</v>
      </c>
      <c r="AD832" s="84" t="s">
        <v>4179</v>
      </c>
      <c r="AE832" s="14">
        <v>45487</v>
      </c>
      <c r="AF832" s="23">
        <v>100</v>
      </c>
      <c r="AG832" s="14">
        <v>45640</v>
      </c>
      <c r="AH832" s="5" t="s">
        <v>2</v>
      </c>
      <c r="AI832" s="5" t="s">
        <v>164</v>
      </c>
      <c r="AJ832" s="5" t="s">
        <v>824</v>
      </c>
      <c r="AK832" s="21" t="s">
        <v>2</v>
      </c>
      <c r="AL832" s="72" t="s">
        <v>2745</v>
      </c>
      <c r="AM832" s="54" t="s">
        <v>4179</v>
      </c>
      <c r="AN832" s="34" t="s">
        <v>1923</v>
      </c>
    </row>
    <row r="833" spans="2:40" x14ac:dyDescent="0.3">
      <c r="B833" s="18" t="s">
        <v>3782</v>
      </c>
      <c r="C833" s="47" t="s">
        <v>3565</v>
      </c>
      <c r="D833" s="15" t="s">
        <v>2913</v>
      </c>
      <c r="E833" s="68" t="s">
        <v>2</v>
      </c>
      <c r="F833" s="55" t="s">
        <v>2</v>
      </c>
      <c r="G833" s="40" t="s">
        <v>3894</v>
      </c>
      <c r="H833" s="71" t="s">
        <v>2745</v>
      </c>
      <c r="I833" s="67" t="s">
        <v>287</v>
      </c>
      <c r="J833" s="73" t="s">
        <v>270</v>
      </c>
      <c r="K833" s="4">
        <v>3799042</v>
      </c>
      <c r="L833" s="41">
        <v>92.555000000000007</v>
      </c>
      <c r="M833" s="4">
        <v>3517096</v>
      </c>
      <c r="N833" s="4">
        <v>3800000</v>
      </c>
      <c r="O833" s="4">
        <v>3799469</v>
      </c>
      <c r="P833" s="4">
        <v>0</v>
      </c>
      <c r="Q833" s="4">
        <v>222</v>
      </c>
      <c r="R833" s="4">
        <v>0</v>
      </c>
      <c r="S833" s="4">
        <v>0</v>
      </c>
      <c r="T833" s="23">
        <v>0.84</v>
      </c>
      <c r="U833" s="23">
        <v>0.84799999999999998</v>
      </c>
      <c r="V833" s="5" t="s">
        <v>398</v>
      </c>
      <c r="W833" s="4">
        <v>1507</v>
      </c>
      <c r="X833" s="4">
        <v>31920</v>
      </c>
      <c r="Y833" s="14">
        <v>44235</v>
      </c>
      <c r="Z833" s="14">
        <v>46552</v>
      </c>
      <c r="AA833" s="2"/>
      <c r="AB833" s="69" t="s">
        <v>3892</v>
      </c>
      <c r="AC833" s="5" t="s">
        <v>7</v>
      </c>
      <c r="AD833" s="84" t="s">
        <v>4179</v>
      </c>
      <c r="AE833" s="14">
        <v>45487</v>
      </c>
      <c r="AF833" s="23">
        <v>100</v>
      </c>
      <c r="AG833" s="14">
        <v>45883</v>
      </c>
      <c r="AH833" s="5" t="s">
        <v>2</v>
      </c>
      <c r="AI833" s="5" t="s">
        <v>164</v>
      </c>
      <c r="AJ833" s="5" t="s">
        <v>824</v>
      </c>
      <c r="AK833" s="21" t="s">
        <v>2</v>
      </c>
      <c r="AL833" s="72" t="s">
        <v>2745</v>
      </c>
      <c r="AM833" s="54" t="s">
        <v>4179</v>
      </c>
      <c r="AN833" s="34" t="s">
        <v>819</v>
      </c>
    </row>
    <row r="834" spans="2:40" x14ac:dyDescent="0.3">
      <c r="B834" s="18" t="s">
        <v>406</v>
      </c>
      <c r="C834" s="47" t="s">
        <v>4050</v>
      </c>
      <c r="D834" s="15" t="s">
        <v>165</v>
      </c>
      <c r="E834" s="68" t="s">
        <v>2</v>
      </c>
      <c r="F834" s="55" t="s">
        <v>2</v>
      </c>
      <c r="G834" s="40" t="s">
        <v>3894</v>
      </c>
      <c r="H834" s="71" t="s">
        <v>2745</v>
      </c>
      <c r="I834" s="67" t="s">
        <v>1164</v>
      </c>
      <c r="J834" s="73" t="s">
        <v>270</v>
      </c>
      <c r="K834" s="4">
        <v>6077869</v>
      </c>
      <c r="L834" s="41">
        <v>90.617999999999995</v>
      </c>
      <c r="M834" s="4">
        <v>5508652</v>
      </c>
      <c r="N834" s="4">
        <v>6079000</v>
      </c>
      <c r="O834" s="4">
        <v>6078187</v>
      </c>
      <c r="P834" s="4">
        <v>0</v>
      </c>
      <c r="Q834" s="4">
        <v>259</v>
      </c>
      <c r="R834" s="4">
        <v>0</v>
      </c>
      <c r="S834" s="4">
        <v>0</v>
      </c>
      <c r="T834" s="23">
        <v>1.27</v>
      </c>
      <c r="U834" s="23">
        <v>1.278</v>
      </c>
      <c r="V834" s="5" t="s">
        <v>398</v>
      </c>
      <c r="W834" s="4">
        <v>3646</v>
      </c>
      <c r="X834" s="4">
        <v>77203</v>
      </c>
      <c r="Y834" s="14">
        <v>44482</v>
      </c>
      <c r="Z834" s="14">
        <v>47191</v>
      </c>
      <c r="AA834" s="2"/>
      <c r="AB834" s="69" t="s">
        <v>3892</v>
      </c>
      <c r="AC834" s="5" t="s">
        <v>7</v>
      </c>
      <c r="AD834" s="84" t="s">
        <v>4179</v>
      </c>
      <c r="AE834" s="14">
        <v>45730</v>
      </c>
      <c r="AF834" s="23">
        <v>100</v>
      </c>
      <c r="AG834" s="14">
        <v>45975</v>
      </c>
      <c r="AH834" s="5" t="s">
        <v>2</v>
      </c>
      <c r="AI834" s="5" t="s">
        <v>1309</v>
      </c>
      <c r="AJ834" s="5" t="s">
        <v>824</v>
      </c>
      <c r="AK834" s="21" t="s">
        <v>2</v>
      </c>
      <c r="AL834" s="72" t="s">
        <v>2745</v>
      </c>
      <c r="AM834" s="54" t="s">
        <v>4179</v>
      </c>
      <c r="AN834" s="34" t="s">
        <v>1625</v>
      </c>
    </row>
    <row r="835" spans="2:40" x14ac:dyDescent="0.3">
      <c r="B835" s="18" t="s">
        <v>1521</v>
      </c>
      <c r="C835" s="47" t="s">
        <v>2646</v>
      </c>
      <c r="D835" s="15" t="s">
        <v>165</v>
      </c>
      <c r="E835" s="68" t="s">
        <v>2</v>
      </c>
      <c r="F835" s="55" t="s">
        <v>2</v>
      </c>
      <c r="G835" s="40" t="s">
        <v>3894</v>
      </c>
      <c r="H835" s="71" t="s">
        <v>2745</v>
      </c>
      <c r="I835" s="67" t="s">
        <v>287</v>
      </c>
      <c r="J835" s="73" t="s">
        <v>270</v>
      </c>
      <c r="K835" s="4">
        <v>5290251</v>
      </c>
      <c r="L835" s="41">
        <v>90.462000000000003</v>
      </c>
      <c r="M835" s="4">
        <v>4786343</v>
      </c>
      <c r="N835" s="4">
        <v>5291000</v>
      </c>
      <c r="O835" s="4">
        <v>5290407</v>
      </c>
      <c r="P835" s="4">
        <v>0</v>
      </c>
      <c r="Q835" s="4">
        <v>125</v>
      </c>
      <c r="R835" s="4">
        <v>0</v>
      </c>
      <c r="S835" s="4">
        <v>0</v>
      </c>
      <c r="T835" s="23">
        <v>1.5</v>
      </c>
      <c r="U835" s="23">
        <v>1.5069999999999999</v>
      </c>
      <c r="V835" s="5" t="s">
        <v>398</v>
      </c>
      <c r="W835" s="4">
        <v>3748</v>
      </c>
      <c r="X835" s="4">
        <v>79365</v>
      </c>
      <c r="Y835" s="14">
        <v>44482</v>
      </c>
      <c r="Z835" s="14">
        <v>47191</v>
      </c>
      <c r="AA835" s="2"/>
      <c r="AB835" s="69" t="s">
        <v>3892</v>
      </c>
      <c r="AC835" s="5" t="s">
        <v>7</v>
      </c>
      <c r="AD835" s="84" t="s">
        <v>4179</v>
      </c>
      <c r="AE835" s="14">
        <v>45730</v>
      </c>
      <c r="AF835" s="23">
        <v>100</v>
      </c>
      <c r="AG835" s="14">
        <v>46279</v>
      </c>
      <c r="AH835" s="5" t="s">
        <v>2</v>
      </c>
      <c r="AI835" s="5" t="s">
        <v>1309</v>
      </c>
      <c r="AJ835" s="5" t="s">
        <v>824</v>
      </c>
      <c r="AK835" s="21" t="s">
        <v>2</v>
      </c>
      <c r="AL835" s="72" t="s">
        <v>2745</v>
      </c>
      <c r="AM835" s="54" t="s">
        <v>4179</v>
      </c>
      <c r="AN835" s="34" t="s">
        <v>819</v>
      </c>
    </row>
    <row r="836" spans="2:40" x14ac:dyDescent="0.3">
      <c r="B836" s="18" t="s">
        <v>2647</v>
      </c>
      <c r="C836" s="47" t="s">
        <v>1008</v>
      </c>
      <c r="D836" s="15" t="s">
        <v>1009</v>
      </c>
      <c r="E836" s="68" t="s">
        <v>2</v>
      </c>
      <c r="F836" s="55" t="s">
        <v>2</v>
      </c>
      <c r="G836" s="40" t="s">
        <v>3894</v>
      </c>
      <c r="H836" s="71" t="s">
        <v>2745</v>
      </c>
      <c r="I836" s="67" t="s">
        <v>3408</v>
      </c>
      <c r="J836" s="73" t="s">
        <v>270</v>
      </c>
      <c r="K836" s="4">
        <v>4999926</v>
      </c>
      <c r="L836" s="41">
        <v>98.12</v>
      </c>
      <c r="M836" s="4">
        <v>4905997</v>
      </c>
      <c r="N836" s="4">
        <v>5000000</v>
      </c>
      <c r="O836" s="4">
        <v>4999936</v>
      </c>
      <c r="P836" s="4">
        <v>0</v>
      </c>
      <c r="Q836" s="4">
        <v>10</v>
      </c>
      <c r="R836" s="4">
        <v>0</v>
      </c>
      <c r="S836" s="4">
        <v>0</v>
      </c>
      <c r="T836" s="23">
        <v>3.91</v>
      </c>
      <c r="U836" s="23">
        <v>3.9430000000000001</v>
      </c>
      <c r="V836" s="5" t="s">
        <v>398</v>
      </c>
      <c r="W836" s="4">
        <v>9232</v>
      </c>
      <c r="X836" s="4">
        <v>93949</v>
      </c>
      <c r="Y836" s="14">
        <v>44720</v>
      </c>
      <c r="Z836" s="14">
        <v>47315</v>
      </c>
      <c r="AA836" s="2"/>
      <c r="AB836" s="69" t="s">
        <v>3892</v>
      </c>
      <c r="AC836" s="5" t="s">
        <v>7</v>
      </c>
      <c r="AD836" s="84" t="s">
        <v>4179</v>
      </c>
      <c r="AE836" s="14">
        <v>45944</v>
      </c>
      <c r="AF836" s="23">
        <v>100</v>
      </c>
      <c r="AG836" s="14">
        <v>45914</v>
      </c>
      <c r="AH836" s="5" t="s">
        <v>2</v>
      </c>
      <c r="AI836" s="5" t="s">
        <v>2434</v>
      </c>
      <c r="AJ836" s="5" t="s">
        <v>824</v>
      </c>
      <c r="AK836" s="21" t="s">
        <v>2</v>
      </c>
      <c r="AL836" s="72" t="s">
        <v>3894</v>
      </c>
      <c r="AM836" s="54" t="s">
        <v>4179</v>
      </c>
      <c r="AN836" s="34" t="s">
        <v>2278</v>
      </c>
    </row>
    <row r="837" spans="2:40" x14ac:dyDescent="0.3">
      <c r="B837" s="18" t="s">
        <v>4051</v>
      </c>
      <c r="C837" s="47" t="s">
        <v>3566</v>
      </c>
      <c r="D837" s="15" t="s">
        <v>1009</v>
      </c>
      <c r="E837" s="68" t="s">
        <v>2</v>
      </c>
      <c r="F837" s="55" t="s">
        <v>2</v>
      </c>
      <c r="G837" s="40" t="s">
        <v>3894</v>
      </c>
      <c r="H837" s="71" t="s">
        <v>2745</v>
      </c>
      <c r="I837" s="67" t="s">
        <v>1164</v>
      </c>
      <c r="J837" s="73" t="s">
        <v>270</v>
      </c>
      <c r="K837" s="4">
        <v>7969029</v>
      </c>
      <c r="L837" s="41">
        <v>97.043000000000006</v>
      </c>
      <c r="M837" s="4">
        <v>7734296</v>
      </c>
      <c r="N837" s="4">
        <v>7970000</v>
      </c>
      <c r="O837" s="4">
        <v>7969145</v>
      </c>
      <c r="P837" s="4">
        <v>0</v>
      </c>
      <c r="Q837" s="4">
        <v>116</v>
      </c>
      <c r="R837" s="4">
        <v>0</v>
      </c>
      <c r="S837" s="4">
        <v>0</v>
      </c>
      <c r="T837" s="23">
        <v>4.42</v>
      </c>
      <c r="U837" s="23">
        <v>4.4649999999999999</v>
      </c>
      <c r="V837" s="5" t="s">
        <v>398</v>
      </c>
      <c r="W837" s="4">
        <v>16635</v>
      </c>
      <c r="X837" s="4">
        <v>169287</v>
      </c>
      <c r="Y837" s="14">
        <v>44720</v>
      </c>
      <c r="Z837" s="14">
        <v>47315</v>
      </c>
      <c r="AA837" s="2"/>
      <c r="AB837" s="69" t="s">
        <v>3892</v>
      </c>
      <c r="AC837" s="5" t="s">
        <v>7</v>
      </c>
      <c r="AD837" s="84" t="s">
        <v>4179</v>
      </c>
      <c r="AE837" s="14">
        <v>45944</v>
      </c>
      <c r="AF837" s="23">
        <v>100</v>
      </c>
      <c r="AG837" s="14">
        <v>46095</v>
      </c>
      <c r="AH837" s="5" t="s">
        <v>2</v>
      </c>
      <c r="AI837" s="5" t="s">
        <v>2434</v>
      </c>
      <c r="AJ837" s="5" t="s">
        <v>824</v>
      </c>
      <c r="AK837" s="21" t="s">
        <v>2</v>
      </c>
      <c r="AL837" s="72" t="s">
        <v>825</v>
      </c>
      <c r="AM837" s="54" t="s">
        <v>4179</v>
      </c>
      <c r="AN837" s="34" t="s">
        <v>1625</v>
      </c>
    </row>
    <row r="838" spans="2:40" x14ac:dyDescent="0.3">
      <c r="B838" s="18" t="s">
        <v>652</v>
      </c>
      <c r="C838" s="47" t="s">
        <v>3567</v>
      </c>
      <c r="D838" s="15" t="s">
        <v>1009</v>
      </c>
      <c r="E838" s="68" t="s">
        <v>2</v>
      </c>
      <c r="F838" s="55" t="s">
        <v>2</v>
      </c>
      <c r="G838" s="40" t="s">
        <v>3894</v>
      </c>
      <c r="H838" s="71" t="s">
        <v>2745</v>
      </c>
      <c r="I838" s="67" t="s">
        <v>287</v>
      </c>
      <c r="J838" s="73" t="s">
        <v>270</v>
      </c>
      <c r="K838" s="4">
        <v>999992</v>
      </c>
      <c r="L838" s="41">
        <v>97.11</v>
      </c>
      <c r="M838" s="4">
        <v>971096</v>
      </c>
      <c r="N838" s="4">
        <v>1000000</v>
      </c>
      <c r="O838" s="4">
        <v>999990</v>
      </c>
      <c r="P838" s="4">
        <v>0</v>
      </c>
      <c r="Q838" s="4">
        <v>-2</v>
      </c>
      <c r="R838" s="4">
        <v>0</v>
      </c>
      <c r="S838" s="4">
        <v>0</v>
      </c>
      <c r="T838" s="23">
        <v>4.67</v>
      </c>
      <c r="U838" s="23">
        <v>4.7160000000000002</v>
      </c>
      <c r="V838" s="5" t="s">
        <v>398</v>
      </c>
      <c r="W838" s="4">
        <v>2205</v>
      </c>
      <c r="X838" s="4">
        <v>22442</v>
      </c>
      <c r="Y838" s="14">
        <v>44720</v>
      </c>
      <c r="Z838" s="14">
        <v>47315</v>
      </c>
      <c r="AA838" s="2"/>
      <c r="AB838" s="69" t="s">
        <v>3892</v>
      </c>
      <c r="AC838" s="5" t="s">
        <v>7</v>
      </c>
      <c r="AD838" s="84" t="s">
        <v>4179</v>
      </c>
      <c r="AE838" s="14">
        <v>45944</v>
      </c>
      <c r="AF838" s="23">
        <v>100</v>
      </c>
      <c r="AG838" s="14">
        <v>46248</v>
      </c>
      <c r="AH838" s="5" t="s">
        <v>2</v>
      </c>
      <c r="AI838" s="5" t="s">
        <v>2434</v>
      </c>
      <c r="AJ838" s="5" t="s">
        <v>824</v>
      </c>
      <c r="AK838" s="21" t="s">
        <v>2</v>
      </c>
      <c r="AL838" s="72" t="s">
        <v>825</v>
      </c>
      <c r="AM838" s="54" t="s">
        <v>4179</v>
      </c>
      <c r="AN838" s="34" t="s">
        <v>819</v>
      </c>
    </row>
    <row r="839" spans="2:40" x14ac:dyDescent="0.3">
      <c r="B839" s="18" t="s">
        <v>1794</v>
      </c>
      <c r="C839" s="47" t="s">
        <v>3270</v>
      </c>
      <c r="D839" s="15" t="s">
        <v>4411</v>
      </c>
      <c r="E839" s="68" t="s">
        <v>2</v>
      </c>
      <c r="F839" s="55" t="s">
        <v>2</v>
      </c>
      <c r="G839" s="40" t="s">
        <v>1921</v>
      </c>
      <c r="H839" s="71" t="s">
        <v>2745</v>
      </c>
      <c r="I839" s="67" t="s">
        <v>287</v>
      </c>
      <c r="J839" s="73" t="s">
        <v>270</v>
      </c>
      <c r="K839" s="4">
        <v>7658970</v>
      </c>
      <c r="L839" s="41">
        <v>86.680999999999997</v>
      </c>
      <c r="M839" s="4">
        <v>6641899</v>
      </c>
      <c r="N839" s="4">
        <v>7662500</v>
      </c>
      <c r="O839" s="4">
        <v>7659647</v>
      </c>
      <c r="P839" s="4">
        <v>0</v>
      </c>
      <c r="Q839" s="4">
        <v>294</v>
      </c>
      <c r="R839" s="4">
        <v>0</v>
      </c>
      <c r="S839" s="4">
        <v>0</v>
      </c>
      <c r="T839" s="23">
        <v>2.08</v>
      </c>
      <c r="U839" s="23">
        <v>2.097</v>
      </c>
      <c r="V839" s="5" t="s">
        <v>398</v>
      </c>
      <c r="W839" s="4">
        <v>5755</v>
      </c>
      <c r="X839" s="4">
        <v>159380</v>
      </c>
      <c r="Y839" s="14">
        <v>44070</v>
      </c>
      <c r="Z839" s="14">
        <v>53223</v>
      </c>
      <c r="AA839" s="2"/>
      <c r="AB839" s="69" t="s">
        <v>3892</v>
      </c>
      <c r="AC839" s="5" t="s">
        <v>7</v>
      </c>
      <c r="AD839" s="84" t="s">
        <v>4179</v>
      </c>
      <c r="AE839" s="10"/>
      <c r="AF839" s="23"/>
      <c r="AG839" s="14">
        <v>47835</v>
      </c>
      <c r="AH839" s="5" t="s">
        <v>2</v>
      </c>
      <c r="AI839" s="5" t="s">
        <v>653</v>
      </c>
      <c r="AJ839" s="5" t="s">
        <v>824</v>
      </c>
      <c r="AK839" s="21" t="s">
        <v>2</v>
      </c>
      <c r="AL839" s="72" t="s">
        <v>2745</v>
      </c>
      <c r="AM839" s="54" t="s">
        <v>4179</v>
      </c>
      <c r="AN839" s="34" t="s">
        <v>819</v>
      </c>
    </row>
    <row r="840" spans="2:40" x14ac:dyDescent="0.3">
      <c r="B840" s="18" t="s">
        <v>2914</v>
      </c>
      <c r="C840" s="47" t="s">
        <v>4412</v>
      </c>
      <c r="D840" s="15" t="s">
        <v>1522</v>
      </c>
      <c r="E840" s="68" t="s">
        <v>2</v>
      </c>
      <c r="F840" s="55" t="s">
        <v>2</v>
      </c>
      <c r="G840" s="40" t="s">
        <v>1921</v>
      </c>
      <c r="H840" s="71" t="s">
        <v>2745</v>
      </c>
      <c r="I840" s="67" t="s">
        <v>287</v>
      </c>
      <c r="J840" s="73" t="s">
        <v>270</v>
      </c>
      <c r="K840" s="4">
        <v>7448465</v>
      </c>
      <c r="L840" s="41">
        <v>86.894000000000005</v>
      </c>
      <c r="M840" s="4">
        <v>6473618</v>
      </c>
      <c r="N840" s="4">
        <v>7450000</v>
      </c>
      <c r="O840" s="4">
        <v>7448790</v>
      </c>
      <c r="P840" s="4">
        <v>0</v>
      </c>
      <c r="Q840" s="4">
        <v>148</v>
      </c>
      <c r="R840" s="4">
        <v>0</v>
      </c>
      <c r="S840" s="4">
        <v>0</v>
      </c>
      <c r="T840" s="23">
        <v>2.0699999999999998</v>
      </c>
      <c r="U840" s="23">
        <v>2.0830000000000002</v>
      </c>
      <c r="V840" s="5" t="s">
        <v>398</v>
      </c>
      <c r="W840" s="4">
        <v>5569</v>
      </c>
      <c r="X840" s="4">
        <v>154215</v>
      </c>
      <c r="Y840" s="14">
        <v>44106</v>
      </c>
      <c r="Z840" s="14">
        <v>53253</v>
      </c>
      <c r="AA840" s="2"/>
      <c r="AB840" s="69" t="s">
        <v>3892</v>
      </c>
      <c r="AC840" s="5" t="s">
        <v>7</v>
      </c>
      <c r="AD840" s="84" t="s">
        <v>161</v>
      </c>
      <c r="AE840" s="10"/>
      <c r="AF840" s="23"/>
      <c r="AG840" s="14">
        <v>47835</v>
      </c>
      <c r="AH840" s="5" t="s">
        <v>2</v>
      </c>
      <c r="AI840" s="5" t="s">
        <v>1522</v>
      </c>
      <c r="AJ840" s="5" t="s">
        <v>2</v>
      </c>
      <c r="AK840" s="21" t="s">
        <v>2</v>
      </c>
      <c r="AL840" s="72" t="s">
        <v>2745</v>
      </c>
      <c r="AM840" s="54" t="s">
        <v>4179</v>
      </c>
      <c r="AN840" s="34" t="s">
        <v>819</v>
      </c>
    </row>
    <row r="841" spans="2:40" x14ac:dyDescent="0.3">
      <c r="B841" s="18" t="s">
        <v>4052</v>
      </c>
      <c r="C841" s="47" t="s">
        <v>3568</v>
      </c>
      <c r="D841" s="15" t="s">
        <v>1010</v>
      </c>
      <c r="E841" s="68" t="s">
        <v>2</v>
      </c>
      <c r="F841" s="55" t="s">
        <v>2</v>
      </c>
      <c r="G841" s="40" t="s">
        <v>3894</v>
      </c>
      <c r="H841" s="71" t="s">
        <v>2745</v>
      </c>
      <c r="I841" s="67" t="s">
        <v>3408</v>
      </c>
      <c r="J841" s="73" t="s">
        <v>270</v>
      </c>
      <c r="K841" s="4">
        <v>4998973</v>
      </c>
      <c r="L841" s="41">
        <v>99.947000000000003</v>
      </c>
      <c r="M841" s="4">
        <v>4997339</v>
      </c>
      <c r="N841" s="4">
        <v>5000000</v>
      </c>
      <c r="O841" s="4">
        <v>4999667</v>
      </c>
      <c r="P841" s="4">
        <v>0</v>
      </c>
      <c r="Q841" s="4">
        <v>254</v>
      </c>
      <c r="R841" s="4">
        <v>0</v>
      </c>
      <c r="S841" s="4">
        <v>0</v>
      </c>
      <c r="T841" s="23">
        <v>3.34</v>
      </c>
      <c r="U841" s="23">
        <v>3.367</v>
      </c>
      <c r="V841" s="5" t="s">
        <v>398</v>
      </c>
      <c r="W841" s="4">
        <v>7422</v>
      </c>
      <c r="X841" s="4">
        <v>167000</v>
      </c>
      <c r="Y841" s="14">
        <v>43495</v>
      </c>
      <c r="Z841" s="14">
        <v>46218</v>
      </c>
      <c r="AA841" s="2"/>
      <c r="AB841" s="69" t="s">
        <v>3892</v>
      </c>
      <c r="AC841" s="5" t="s">
        <v>7</v>
      </c>
      <c r="AD841" s="84" t="s">
        <v>4179</v>
      </c>
      <c r="AE841" s="14">
        <v>44941</v>
      </c>
      <c r="AF841" s="23">
        <v>100</v>
      </c>
      <c r="AG841" s="14">
        <v>45275</v>
      </c>
      <c r="AH841" s="5" t="s">
        <v>2</v>
      </c>
      <c r="AI841" s="5" t="s">
        <v>1010</v>
      </c>
      <c r="AJ841" s="5" t="s">
        <v>2</v>
      </c>
      <c r="AK841" s="21" t="s">
        <v>2</v>
      </c>
      <c r="AL841" s="72" t="s">
        <v>2745</v>
      </c>
      <c r="AM841" s="54" t="s">
        <v>4179</v>
      </c>
      <c r="AN841" s="34" t="s">
        <v>2278</v>
      </c>
    </row>
    <row r="842" spans="2:40" x14ac:dyDescent="0.3">
      <c r="B842" s="18" t="s">
        <v>654</v>
      </c>
      <c r="C842" s="47" t="s">
        <v>2648</v>
      </c>
      <c r="D842" s="15" t="s">
        <v>2435</v>
      </c>
      <c r="E842" s="68" t="s">
        <v>2</v>
      </c>
      <c r="F842" s="55" t="s">
        <v>2</v>
      </c>
      <c r="G842" s="40" t="s">
        <v>3894</v>
      </c>
      <c r="H842" s="71" t="s">
        <v>2745</v>
      </c>
      <c r="I842" s="67" t="s">
        <v>287</v>
      </c>
      <c r="J842" s="73" t="s">
        <v>270</v>
      </c>
      <c r="K842" s="4">
        <v>1999909</v>
      </c>
      <c r="L842" s="41">
        <v>89.861999999999995</v>
      </c>
      <c r="M842" s="4">
        <v>1797248</v>
      </c>
      <c r="N842" s="4">
        <v>2000000</v>
      </c>
      <c r="O842" s="4">
        <v>1999944</v>
      </c>
      <c r="P842" s="4">
        <v>0</v>
      </c>
      <c r="Q842" s="4">
        <v>17</v>
      </c>
      <c r="R842" s="4">
        <v>0</v>
      </c>
      <c r="S842" s="4">
        <v>0</v>
      </c>
      <c r="T842" s="23">
        <v>0.94</v>
      </c>
      <c r="U842" s="23">
        <v>0.94299999999999995</v>
      </c>
      <c r="V842" s="5" t="s">
        <v>398</v>
      </c>
      <c r="W842" s="4">
        <v>836</v>
      </c>
      <c r="X842" s="4">
        <v>18800</v>
      </c>
      <c r="Y842" s="14">
        <v>44216</v>
      </c>
      <c r="Z842" s="14">
        <v>46371</v>
      </c>
      <c r="AA842" s="2"/>
      <c r="AB842" s="69" t="s">
        <v>3892</v>
      </c>
      <c r="AC842" s="5" t="s">
        <v>4178</v>
      </c>
      <c r="AD842" s="84" t="s">
        <v>1921</v>
      </c>
      <c r="AE842" s="14">
        <v>45703</v>
      </c>
      <c r="AF842" s="23">
        <v>100</v>
      </c>
      <c r="AG842" s="14">
        <v>46068</v>
      </c>
      <c r="AH842" s="5" t="s">
        <v>2</v>
      </c>
      <c r="AI842" s="5" t="s">
        <v>2435</v>
      </c>
      <c r="AJ842" s="5" t="s">
        <v>2</v>
      </c>
      <c r="AK842" s="21" t="s">
        <v>2</v>
      </c>
      <c r="AL842" s="72" t="s">
        <v>2745</v>
      </c>
      <c r="AM842" s="54" t="s">
        <v>4179</v>
      </c>
      <c r="AN842" s="34" t="s">
        <v>819</v>
      </c>
    </row>
    <row r="843" spans="2:40" x14ac:dyDescent="0.3">
      <c r="B843" s="18" t="s">
        <v>2649</v>
      </c>
      <c r="C843" s="47" t="s">
        <v>1011</v>
      </c>
      <c r="D843" s="15" t="s">
        <v>2435</v>
      </c>
      <c r="E843" s="68" t="s">
        <v>2</v>
      </c>
      <c r="F843" s="55" t="s">
        <v>2</v>
      </c>
      <c r="G843" s="40" t="s">
        <v>3894</v>
      </c>
      <c r="H843" s="71" t="s">
        <v>2745</v>
      </c>
      <c r="I843" s="67" t="s">
        <v>2274</v>
      </c>
      <c r="J843" s="73" t="s">
        <v>270</v>
      </c>
      <c r="K843" s="4">
        <v>5999369</v>
      </c>
      <c r="L843" s="41">
        <v>89.147999999999996</v>
      </c>
      <c r="M843" s="4">
        <v>5348876</v>
      </c>
      <c r="N843" s="4">
        <v>6000000</v>
      </c>
      <c r="O843" s="4">
        <v>5999551</v>
      </c>
      <c r="P843" s="4">
        <v>0</v>
      </c>
      <c r="Q843" s="4">
        <v>127</v>
      </c>
      <c r="R843" s="4">
        <v>0</v>
      </c>
      <c r="S843" s="4">
        <v>0</v>
      </c>
      <c r="T843" s="23">
        <v>1.25</v>
      </c>
      <c r="U843" s="23">
        <v>1.256</v>
      </c>
      <c r="V843" s="5" t="s">
        <v>398</v>
      </c>
      <c r="W843" s="4">
        <v>3333</v>
      </c>
      <c r="X843" s="4">
        <v>75000</v>
      </c>
      <c r="Y843" s="14">
        <v>44398</v>
      </c>
      <c r="Z843" s="14">
        <v>46524</v>
      </c>
      <c r="AA843" s="2"/>
      <c r="AB843" s="69" t="s">
        <v>3892</v>
      </c>
      <c r="AC843" s="5" t="s">
        <v>4178</v>
      </c>
      <c r="AD843" s="84" t="s">
        <v>1921</v>
      </c>
      <c r="AE843" s="14">
        <v>45641</v>
      </c>
      <c r="AF843" s="23">
        <v>100</v>
      </c>
      <c r="AG843" s="14">
        <v>46249</v>
      </c>
      <c r="AH843" s="5" t="s">
        <v>2</v>
      </c>
      <c r="AI843" s="5" t="s">
        <v>2435</v>
      </c>
      <c r="AJ843" s="5" t="s">
        <v>2</v>
      </c>
      <c r="AK843" s="21" t="s">
        <v>2</v>
      </c>
      <c r="AL843" s="72" t="s">
        <v>2745</v>
      </c>
      <c r="AM843" s="54" t="s">
        <v>4179</v>
      </c>
      <c r="AN843" s="34" t="s">
        <v>1408</v>
      </c>
    </row>
    <row r="844" spans="2:40" x14ac:dyDescent="0.3">
      <c r="B844" s="18" t="s">
        <v>3783</v>
      </c>
      <c r="C844" s="47" t="s">
        <v>407</v>
      </c>
      <c r="D844" s="15" t="s">
        <v>1795</v>
      </c>
      <c r="E844" s="68" t="s">
        <v>2</v>
      </c>
      <c r="F844" s="55" t="s">
        <v>2</v>
      </c>
      <c r="G844" s="40" t="s">
        <v>3894</v>
      </c>
      <c r="H844" s="71" t="s">
        <v>2745</v>
      </c>
      <c r="I844" s="67" t="s">
        <v>3660</v>
      </c>
      <c r="J844" s="73" t="s">
        <v>270</v>
      </c>
      <c r="K844" s="4">
        <v>1499706</v>
      </c>
      <c r="L844" s="41">
        <v>86.265000000000001</v>
      </c>
      <c r="M844" s="4">
        <v>1293969</v>
      </c>
      <c r="N844" s="4">
        <v>1500000</v>
      </c>
      <c r="O844" s="4">
        <v>1499834</v>
      </c>
      <c r="P844" s="4">
        <v>0</v>
      </c>
      <c r="Q844" s="4">
        <v>153</v>
      </c>
      <c r="R844" s="4">
        <v>0</v>
      </c>
      <c r="S844" s="4">
        <v>0</v>
      </c>
      <c r="T844" s="23">
        <v>1.32</v>
      </c>
      <c r="U844" s="23">
        <v>1.3280000000000001</v>
      </c>
      <c r="V844" s="5" t="s">
        <v>398</v>
      </c>
      <c r="W844" s="4">
        <v>1265</v>
      </c>
      <c r="X844" s="4">
        <v>19800</v>
      </c>
      <c r="Y844" s="14">
        <v>44168</v>
      </c>
      <c r="Z844" s="14">
        <v>46335</v>
      </c>
      <c r="AA844" s="2"/>
      <c r="AB844" s="69" t="s">
        <v>3892</v>
      </c>
      <c r="AC844" s="5" t="s">
        <v>7</v>
      </c>
      <c r="AD844" s="84" t="s">
        <v>1921</v>
      </c>
      <c r="AE844" s="14">
        <v>45908</v>
      </c>
      <c r="AF844" s="23">
        <v>100</v>
      </c>
      <c r="AG844" s="14">
        <v>45969</v>
      </c>
      <c r="AH844" s="5" t="s">
        <v>2</v>
      </c>
      <c r="AI844" s="5" t="s">
        <v>655</v>
      </c>
      <c r="AJ844" s="5" t="s">
        <v>655</v>
      </c>
      <c r="AK844" s="21" t="s">
        <v>2</v>
      </c>
      <c r="AL844" s="72" t="s">
        <v>2745</v>
      </c>
      <c r="AM844" s="54" t="s">
        <v>4179</v>
      </c>
      <c r="AN844" s="34" t="s">
        <v>1170</v>
      </c>
    </row>
    <row r="845" spans="2:40" x14ac:dyDescent="0.3">
      <c r="B845" s="18" t="s">
        <v>408</v>
      </c>
      <c r="C845" s="47" t="s">
        <v>4053</v>
      </c>
      <c r="D845" s="15" t="s">
        <v>166</v>
      </c>
      <c r="E845" s="68" t="s">
        <v>2</v>
      </c>
      <c r="F845" s="55" t="s">
        <v>2</v>
      </c>
      <c r="G845" s="40" t="s">
        <v>3894</v>
      </c>
      <c r="H845" s="71" t="s">
        <v>2745</v>
      </c>
      <c r="I845" s="67" t="s">
        <v>8</v>
      </c>
      <c r="J845" s="73" t="s">
        <v>270</v>
      </c>
      <c r="K845" s="4">
        <v>5649020</v>
      </c>
      <c r="L845" s="41">
        <v>87.686999999999998</v>
      </c>
      <c r="M845" s="4">
        <v>4954307</v>
      </c>
      <c r="N845" s="4">
        <v>5650000</v>
      </c>
      <c r="O845" s="4">
        <v>5649419</v>
      </c>
      <c r="P845" s="4">
        <v>0</v>
      </c>
      <c r="Q845" s="4">
        <v>190</v>
      </c>
      <c r="R845" s="4">
        <v>0</v>
      </c>
      <c r="S845" s="4">
        <v>0</v>
      </c>
      <c r="T845" s="23">
        <v>1.19</v>
      </c>
      <c r="U845" s="23">
        <v>1.1970000000000001</v>
      </c>
      <c r="V845" s="5" t="s">
        <v>398</v>
      </c>
      <c r="W845" s="4">
        <v>3922</v>
      </c>
      <c r="X845" s="4">
        <v>67235</v>
      </c>
      <c r="Y845" s="14">
        <v>44266</v>
      </c>
      <c r="Z845" s="14">
        <v>46398</v>
      </c>
      <c r="AA845" s="2"/>
      <c r="AB845" s="69" t="s">
        <v>3892</v>
      </c>
      <c r="AC845" s="5" t="s">
        <v>7</v>
      </c>
      <c r="AD845" s="84" t="s">
        <v>1921</v>
      </c>
      <c r="AE845" s="14">
        <v>46032</v>
      </c>
      <c r="AF845" s="23">
        <v>100</v>
      </c>
      <c r="AG845" s="14">
        <v>45910</v>
      </c>
      <c r="AH845" s="5" t="s">
        <v>2</v>
      </c>
      <c r="AI845" s="5" t="s">
        <v>655</v>
      </c>
      <c r="AJ845" s="5" t="s">
        <v>4413</v>
      </c>
      <c r="AK845" s="21" t="s">
        <v>2</v>
      </c>
      <c r="AL845" s="72" t="s">
        <v>2745</v>
      </c>
      <c r="AM845" s="54" t="s">
        <v>4179</v>
      </c>
      <c r="AN845" s="34" t="s">
        <v>1923</v>
      </c>
    </row>
    <row r="846" spans="2:40" x14ac:dyDescent="0.3">
      <c r="B846" s="18" t="s">
        <v>1796</v>
      </c>
      <c r="C846" s="47" t="s">
        <v>3569</v>
      </c>
      <c r="D846" s="15" t="s">
        <v>1795</v>
      </c>
      <c r="E846" s="68" t="s">
        <v>2</v>
      </c>
      <c r="F846" s="55" t="s">
        <v>2</v>
      </c>
      <c r="G846" s="40" t="s">
        <v>3894</v>
      </c>
      <c r="H846" s="71" t="s">
        <v>2745</v>
      </c>
      <c r="I846" s="67" t="s">
        <v>1164</v>
      </c>
      <c r="J846" s="73" t="s">
        <v>270</v>
      </c>
      <c r="K846" s="4">
        <v>4999155</v>
      </c>
      <c r="L846" s="41">
        <v>82.753</v>
      </c>
      <c r="M846" s="4">
        <v>4137675</v>
      </c>
      <c r="N846" s="4">
        <v>5000000</v>
      </c>
      <c r="O846" s="4">
        <v>4999380</v>
      </c>
      <c r="P846" s="4">
        <v>0</v>
      </c>
      <c r="Q846" s="4">
        <v>182</v>
      </c>
      <c r="R846" s="4">
        <v>0</v>
      </c>
      <c r="S846" s="4">
        <v>0</v>
      </c>
      <c r="T846" s="23">
        <v>1.42</v>
      </c>
      <c r="U846" s="23">
        <v>1.4279999999999999</v>
      </c>
      <c r="V846" s="5" t="s">
        <v>398</v>
      </c>
      <c r="W846" s="4">
        <v>4142</v>
      </c>
      <c r="X846" s="4">
        <v>71000</v>
      </c>
      <c r="Y846" s="14">
        <v>44460</v>
      </c>
      <c r="Z846" s="14">
        <v>46609</v>
      </c>
      <c r="AA846" s="2"/>
      <c r="AB846" s="69" t="s">
        <v>3892</v>
      </c>
      <c r="AC846" s="5" t="s">
        <v>4178</v>
      </c>
      <c r="AD846" s="84" t="s">
        <v>1921</v>
      </c>
      <c r="AE846" s="14">
        <v>46397</v>
      </c>
      <c r="AF846" s="23">
        <v>100</v>
      </c>
      <c r="AG846" s="14">
        <v>46213</v>
      </c>
      <c r="AH846" s="5" t="s">
        <v>2</v>
      </c>
      <c r="AI846" s="5" t="s">
        <v>655</v>
      </c>
      <c r="AJ846" s="5" t="s">
        <v>655</v>
      </c>
      <c r="AK846" s="21" t="s">
        <v>2</v>
      </c>
      <c r="AL846" s="72" t="s">
        <v>2745</v>
      </c>
      <c r="AM846" s="54" t="s">
        <v>4179</v>
      </c>
      <c r="AN846" s="34" t="s">
        <v>1625</v>
      </c>
    </row>
    <row r="847" spans="2:40" x14ac:dyDescent="0.3">
      <c r="B847" s="18" t="s">
        <v>2915</v>
      </c>
      <c r="C847" s="47" t="s">
        <v>656</v>
      </c>
      <c r="D847" s="15" t="s">
        <v>1012</v>
      </c>
      <c r="E847" s="68" t="s">
        <v>2</v>
      </c>
      <c r="F847" s="55" t="s">
        <v>2</v>
      </c>
      <c r="G847" s="40" t="s">
        <v>1921</v>
      </c>
      <c r="H847" s="71" t="s">
        <v>2745</v>
      </c>
      <c r="I847" s="67" t="s">
        <v>287</v>
      </c>
      <c r="J847" s="73" t="s">
        <v>270</v>
      </c>
      <c r="K847" s="4">
        <v>2205673</v>
      </c>
      <c r="L847" s="41">
        <v>99.924000000000007</v>
      </c>
      <c r="M847" s="4">
        <v>2204538</v>
      </c>
      <c r="N847" s="4">
        <v>2206210</v>
      </c>
      <c r="O847" s="4">
        <v>2205736</v>
      </c>
      <c r="P847" s="4">
        <v>0</v>
      </c>
      <c r="Q847" s="4">
        <v>-339</v>
      </c>
      <c r="R847" s="4">
        <v>0</v>
      </c>
      <c r="S847" s="4">
        <v>0</v>
      </c>
      <c r="T847" s="23">
        <v>3.81</v>
      </c>
      <c r="U847" s="23">
        <v>3.8439999999999999</v>
      </c>
      <c r="V847" s="5" t="s">
        <v>398</v>
      </c>
      <c r="W847" s="4">
        <v>3736</v>
      </c>
      <c r="X847" s="4">
        <v>84057</v>
      </c>
      <c r="Y847" s="14">
        <v>43440</v>
      </c>
      <c r="Z847" s="14">
        <v>47863</v>
      </c>
      <c r="AA847" s="2"/>
      <c r="AB847" s="69" t="s">
        <v>3892</v>
      </c>
      <c r="AC847" s="5" t="s">
        <v>7</v>
      </c>
      <c r="AD847" s="84" t="s">
        <v>1921</v>
      </c>
      <c r="AE847" s="10"/>
      <c r="AF847" s="23"/>
      <c r="AG847" s="14">
        <v>44941</v>
      </c>
      <c r="AH847" s="5" t="s">
        <v>2</v>
      </c>
      <c r="AI847" s="5" t="s">
        <v>1797</v>
      </c>
      <c r="AJ847" s="5" t="s">
        <v>824</v>
      </c>
      <c r="AK847" s="21" t="s">
        <v>2</v>
      </c>
      <c r="AL847" s="72" t="s">
        <v>2745</v>
      </c>
      <c r="AM847" s="54" t="s">
        <v>4179</v>
      </c>
      <c r="AN847" s="34" t="s">
        <v>819</v>
      </c>
    </row>
    <row r="848" spans="2:40" x14ac:dyDescent="0.3">
      <c r="B848" s="18" t="s">
        <v>4054</v>
      </c>
      <c r="C848" s="47" t="s">
        <v>657</v>
      </c>
      <c r="D848" s="15" t="s">
        <v>1012</v>
      </c>
      <c r="E848" s="68" t="s">
        <v>2</v>
      </c>
      <c r="F848" s="55" t="s">
        <v>2</v>
      </c>
      <c r="G848" s="40" t="s">
        <v>1921</v>
      </c>
      <c r="H848" s="71" t="s">
        <v>3894</v>
      </c>
      <c r="I848" s="67" t="s">
        <v>8</v>
      </c>
      <c r="J848" s="73" t="s">
        <v>270</v>
      </c>
      <c r="K848" s="4">
        <v>3999882</v>
      </c>
      <c r="L848" s="41">
        <v>99.784000000000006</v>
      </c>
      <c r="M848" s="4">
        <v>3991369</v>
      </c>
      <c r="N848" s="4">
        <v>4000000</v>
      </c>
      <c r="O848" s="4">
        <v>3999532</v>
      </c>
      <c r="P848" s="4">
        <v>0</v>
      </c>
      <c r="Q848" s="4">
        <v>-85</v>
      </c>
      <c r="R848" s="4">
        <v>0</v>
      </c>
      <c r="S848" s="4">
        <v>0</v>
      </c>
      <c r="T848" s="23">
        <v>4.21</v>
      </c>
      <c r="U848" s="23">
        <v>4.2450000000000001</v>
      </c>
      <c r="V848" s="5" t="s">
        <v>398</v>
      </c>
      <c r="W848" s="4">
        <v>7484</v>
      </c>
      <c r="X848" s="4">
        <v>168400</v>
      </c>
      <c r="Y848" s="14">
        <v>43440</v>
      </c>
      <c r="Z848" s="14">
        <v>47863</v>
      </c>
      <c r="AA848" s="2"/>
      <c r="AB848" s="69" t="s">
        <v>3892</v>
      </c>
      <c r="AC848" s="5" t="s">
        <v>7</v>
      </c>
      <c r="AD848" s="84" t="s">
        <v>1921</v>
      </c>
      <c r="AE848" s="10"/>
      <c r="AF848" s="23"/>
      <c r="AG848" s="14">
        <v>44972</v>
      </c>
      <c r="AH848" s="5" t="s">
        <v>2</v>
      </c>
      <c r="AI848" s="5" t="s">
        <v>1797</v>
      </c>
      <c r="AJ848" s="5" t="s">
        <v>824</v>
      </c>
      <c r="AK848" s="21" t="s">
        <v>2</v>
      </c>
      <c r="AL848" s="72" t="s">
        <v>2745</v>
      </c>
      <c r="AM848" s="54" t="s">
        <v>4179</v>
      </c>
      <c r="AN848" s="34" t="s">
        <v>1189</v>
      </c>
    </row>
    <row r="849" spans="2:40" x14ac:dyDescent="0.3">
      <c r="B849" s="18" t="s">
        <v>658</v>
      </c>
      <c r="C849" s="47" t="s">
        <v>3784</v>
      </c>
      <c r="D849" s="15" t="s">
        <v>1012</v>
      </c>
      <c r="E849" s="68" t="s">
        <v>2</v>
      </c>
      <c r="F849" s="55" t="s">
        <v>2</v>
      </c>
      <c r="G849" s="40" t="s">
        <v>1921</v>
      </c>
      <c r="H849" s="71" t="s">
        <v>2745</v>
      </c>
      <c r="I849" s="67" t="s">
        <v>287</v>
      </c>
      <c r="J849" s="73" t="s">
        <v>270</v>
      </c>
      <c r="K849" s="4">
        <v>2556560</v>
      </c>
      <c r="L849" s="41">
        <v>99.897999999999996</v>
      </c>
      <c r="M849" s="4">
        <v>2554553</v>
      </c>
      <c r="N849" s="4">
        <v>2557155</v>
      </c>
      <c r="O849" s="4">
        <v>2556674</v>
      </c>
      <c r="P849" s="4">
        <v>0</v>
      </c>
      <c r="Q849" s="4">
        <v>-201</v>
      </c>
      <c r="R849" s="4">
        <v>0</v>
      </c>
      <c r="S849" s="4">
        <v>0</v>
      </c>
      <c r="T849" s="23">
        <v>3.34</v>
      </c>
      <c r="U849" s="23">
        <v>3.3679999999999999</v>
      </c>
      <c r="V849" s="5" t="s">
        <v>398</v>
      </c>
      <c r="W849" s="4">
        <v>3796</v>
      </c>
      <c r="X849" s="4">
        <v>85409</v>
      </c>
      <c r="Y849" s="14">
        <v>43544</v>
      </c>
      <c r="Z849" s="14">
        <v>47953</v>
      </c>
      <c r="AA849" s="2"/>
      <c r="AB849" s="69" t="s">
        <v>3892</v>
      </c>
      <c r="AC849" s="5" t="s">
        <v>7</v>
      </c>
      <c r="AD849" s="84" t="s">
        <v>1921</v>
      </c>
      <c r="AE849" s="10"/>
      <c r="AF849" s="23"/>
      <c r="AG849" s="14">
        <v>44941</v>
      </c>
      <c r="AH849" s="5" t="s">
        <v>2</v>
      </c>
      <c r="AI849" s="5" t="s">
        <v>1797</v>
      </c>
      <c r="AJ849" s="5" t="s">
        <v>824</v>
      </c>
      <c r="AK849" s="21" t="s">
        <v>2</v>
      </c>
      <c r="AL849" s="72" t="s">
        <v>2745</v>
      </c>
      <c r="AM849" s="54" t="s">
        <v>4179</v>
      </c>
      <c r="AN849" s="34" t="s">
        <v>819</v>
      </c>
    </row>
    <row r="850" spans="2:40" x14ac:dyDescent="0.3">
      <c r="B850" s="18" t="s">
        <v>1798</v>
      </c>
      <c r="C850" s="47" t="s">
        <v>3785</v>
      </c>
      <c r="D850" s="15" t="s">
        <v>1012</v>
      </c>
      <c r="E850" s="68" t="s">
        <v>2</v>
      </c>
      <c r="F850" s="55" t="s">
        <v>2</v>
      </c>
      <c r="G850" s="40" t="s">
        <v>1921</v>
      </c>
      <c r="H850" s="71" t="s">
        <v>3894</v>
      </c>
      <c r="I850" s="67" t="s">
        <v>8</v>
      </c>
      <c r="J850" s="73" t="s">
        <v>270</v>
      </c>
      <c r="K850" s="4">
        <v>2999040</v>
      </c>
      <c r="L850" s="41">
        <v>99.897000000000006</v>
      </c>
      <c r="M850" s="4">
        <v>2996900</v>
      </c>
      <c r="N850" s="4">
        <v>3000000</v>
      </c>
      <c r="O850" s="4">
        <v>2999665</v>
      </c>
      <c r="P850" s="4">
        <v>0</v>
      </c>
      <c r="Q850" s="4">
        <v>178</v>
      </c>
      <c r="R850" s="4">
        <v>0</v>
      </c>
      <c r="S850" s="4">
        <v>0</v>
      </c>
      <c r="T850" s="23">
        <v>3.78</v>
      </c>
      <c r="U850" s="23">
        <v>3.8159999999999998</v>
      </c>
      <c r="V850" s="5" t="s">
        <v>398</v>
      </c>
      <c r="W850" s="4">
        <v>5040</v>
      </c>
      <c r="X850" s="4">
        <v>113400</v>
      </c>
      <c r="Y850" s="14">
        <v>43544</v>
      </c>
      <c r="Z850" s="14">
        <v>47953</v>
      </c>
      <c r="AA850" s="2"/>
      <c r="AB850" s="69" t="s">
        <v>3892</v>
      </c>
      <c r="AC850" s="5" t="s">
        <v>7</v>
      </c>
      <c r="AD850" s="84" t="s">
        <v>1921</v>
      </c>
      <c r="AE850" s="10"/>
      <c r="AF850" s="23"/>
      <c r="AG850" s="14">
        <v>44972</v>
      </c>
      <c r="AH850" s="5" t="s">
        <v>2</v>
      </c>
      <c r="AI850" s="5" t="s">
        <v>1797</v>
      </c>
      <c r="AJ850" s="5" t="s">
        <v>824</v>
      </c>
      <c r="AK850" s="21" t="s">
        <v>2</v>
      </c>
      <c r="AL850" s="72" t="s">
        <v>2745</v>
      </c>
      <c r="AM850" s="54" t="s">
        <v>4179</v>
      </c>
      <c r="AN850" s="34" t="s">
        <v>1189</v>
      </c>
    </row>
    <row r="851" spans="2:40" x14ac:dyDescent="0.3">
      <c r="B851" s="18" t="s">
        <v>2916</v>
      </c>
      <c r="C851" s="47" t="s">
        <v>659</v>
      </c>
      <c r="D851" s="15" t="s">
        <v>1310</v>
      </c>
      <c r="E851" s="68" t="s">
        <v>2</v>
      </c>
      <c r="F851" s="55" t="s">
        <v>2</v>
      </c>
      <c r="G851" s="40" t="s">
        <v>3894</v>
      </c>
      <c r="H851" s="71" t="s">
        <v>3894</v>
      </c>
      <c r="I851" s="67" t="s">
        <v>8</v>
      </c>
      <c r="J851" s="73" t="s">
        <v>270</v>
      </c>
      <c r="K851" s="4">
        <v>11880000</v>
      </c>
      <c r="L851" s="41">
        <v>82.14</v>
      </c>
      <c r="M851" s="4">
        <v>9758232</v>
      </c>
      <c r="N851" s="4">
        <v>11880000</v>
      </c>
      <c r="O851" s="4">
        <v>11880000</v>
      </c>
      <c r="P851" s="4">
        <v>0</v>
      </c>
      <c r="Q851" s="4">
        <v>0</v>
      </c>
      <c r="R851" s="4">
        <v>0</v>
      </c>
      <c r="S851" s="4">
        <v>0</v>
      </c>
      <c r="T851" s="23">
        <v>2.4929999999999999</v>
      </c>
      <c r="U851" s="23">
        <v>2.4950000000000001</v>
      </c>
      <c r="V851" s="5" t="s">
        <v>4414</v>
      </c>
      <c r="W851" s="4">
        <v>32085</v>
      </c>
      <c r="X851" s="4">
        <v>320026</v>
      </c>
      <c r="Y851" s="14">
        <v>44484</v>
      </c>
      <c r="Z851" s="14">
        <v>55477</v>
      </c>
      <c r="AA851" s="2"/>
      <c r="AB851" s="69" t="s">
        <v>3892</v>
      </c>
      <c r="AC851" s="5" t="s">
        <v>7</v>
      </c>
      <c r="AD851" s="84" t="s">
        <v>3564</v>
      </c>
      <c r="AE851" s="14">
        <v>45981</v>
      </c>
      <c r="AF851" s="23">
        <v>100</v>
      </c>
      <c r="AG851" s="14">
        <v>47077</v>
      </c>
      <c r="AH851" s="5" t="s">
        <v>2</v>
      </c>
      <c r="AI851" s="5" t="s">
        <v>1799</v>
      </c>
      <c r="AJ851" s="5" t="s">
        <v>824</v>
      </c>
      <c r="AK851" s="21" t="s">
        <v>2</v>
      </c>
      <c r="AL851" s="72" t="s">
        <v>2745</v>
      </c>
      <c r="AM851" s="54" t="s">
        <v>4179</v>
      </c>
      <c r="AN851" s="34" t="s">
        <v>1189</v>
      </c>
    </row>
    <row r="852" spans="2:40" x14ac:dyDescent="0.3">
      <c r="B852" s="18" t="s">
        <v>4055</v>
      </c>
      <c r="C852" s="47" t="s">
        <v>1311</v>
      </c>
      <c r="D852" s="15" t="s">
        <v>2436</v>
      </c>
      <c r="E852" s="68" t="s">
        <v>2</v>
      </c>
      <c r="F852" s="55" t="s">
        <v>2</v>
      </c>
      <c r="G852" s="40" t="s">
        <v>3894</v>
      </c>
      <c r="H852" s="71" t="s">
        <v>2745</v>
      </c>
      <c r="I852" s="67" t="s">
        <v>287</v>
      </c>
      <c r="J852" s="73" t="s">
        <v>270</v>
      </c>
      <c r="K852" s="4">
        <v>7749468</v>
      </c>
      <c r="L852" s="41">
        <v>94.981999999999999</v>
      </c>
      <c r="M852" s="4">
        <v>7361114</v>
      </c>
      <c r="N852" s="4">
        <v>7750000</v>
      </c>
      <c r="O852" s="4">
        <v>7749596</v>
      </c>
      <c r="P852" s="4">
        <v>0</v>
      </c>
      <c r="Q852" s="4">
        <v>129</v>
      </c>
      <c r="R852" s="4">
        <v>0</v>
      </c>
      <c r="S852" s="4">
        <v>0</v>
      </c>
      <c r="T852" s="23">
        <v>2.94</v>
      </c>
      <c r="U852" s="23">
        <v>2.96</v>
      </c>
      <c r="V852" s="5" t="s">
        <v>398</v>
      </c>
      <c r="W852" s="4">
        <v>5696</v>
      </c>
      <c r="X852" s="4">
        <v>174685</v>
      </c>
      <c r="Y852" s="14">
        <v>44630</v>
      </c>
      <c r="Z852" s="14">
        <v>46622</v>
      </c>
      <c r="AA852" s="2"/>
      <c r="AB852" s="69" t="s">
        <v>3892</v>
      </c>
      <c r="AC852" s="5" t="s">
        <v>7</v>
      </c>
      <c r="AD852" s="84" t="s">
        <v>4179</v>
      </c>
      <c r="AE852" s="14">
        <v>45526</v>
      </c>
      <c r="AF852" s="23">
        <v>100</v>
      </c>
      <c r="AG852" s="14">
        <v>45830</v>
      </c>
      <c r="AH852" s="5" t="s">
        <v>2</v>
      </c>
      <c r="AI852" s="5" t="s">
        <v>1312</v>
      </c>
      <c r="AJ852" s="5" t="s">
        <v>824</v>
      </c>
      <c r="AK852" s="21" t="s">
        <v>2</v>
      </c>
      <c r="AL852" s="72" t="s">
        <v>825</v>
      </c>
      <c r="AM852" s="54" t="s">
        <v>4179</v>
      </c>
      <c r="AN852" s="34" t="s">
        <v>819</v>
      </c>
    </row>
    <row r="853" spans="2:40" x14ac:dyDescent="0.3">
      <c r="B853" s="18" t="s">
        <v>1523</v>
      </c>
      <c r="C853" s="47" t="s">
        <v>167</v>
      </c>
      <c r="D853" s="15" t="s">
        <v>2436</v>
      </c>
      <c r="E853" s="68" t="s">
        <v>2</v>
      </c>
      <c r="F853" s="55" t="s">
        <v>2</v>
      </c>
      <c r="G853" s="40" t="s">
        <v>3894</v>
      </c>
      <c r="H853" s="71" t="s">
        <v>3894</v>
      </c>
      <c r="I853" s="67" t="s">
        <v>8</v>
      </c>
      <c r="J853" s="73" t="s">
        <v>270</v>
      </c>
      <c r="K853" s="4">
        <v>8998373</v>
      </c>
      <c r="L853" s="41">
        <v>94.912999999999997</v>
      </c>
      <c r="M853" s="4">
        <v>8542148</v>
      </c>
      <c r="N853" s="4">
        <v>9000000</v>
      </c>
      <c r="O853" s="4">
        <v>8998726</v>
      </c>
      <c r="P853" s="4">
        <v>0</v>
      </c>
      <c r="Q853" s="4">
        <v>353</v>
      </c>
      <c r="R853" s="4">
        <v>0</v>
      </c>
      <c r="S853" s="4">
        <v>0</v>
      </c>
      <c r="T853" s="23">
        <v>3.33</v>
      </c>
      <c r="U853" s="23">
        <v>3.359</v>
      </c>
      <c r="V853" s="5" t="s">
        <v>398</v>
      </c>
      <c r="W853" s="4">
        <v>7493</v>
      </c>
      <c r="X853" s="4">
        <v>229770</v>
      </c>
      <c r="Y853" s="14">
        <v>44630</v>
      </c>
      <c r="Z853" s="14">
        <v>46776</v>
      </c>
      <c r="AA853" s="2"/>
      <c r="AB853" s="69" t="s">
        <v>3892</v>
      </c>
      <c r="AC853" s="5" t="s">
        <v>7</v>
      </c>
      <c r="AD853" s="84" t="s">
        <v>4179</v>
      </c>
      <c r="AE853" s="14">
        <v>45526</v>
      </c>
      <c r="AF853" s="23">
        <v>100</v>
      </c>
      <c r="AG853" s="14">
        <v>45983</v>
      </c>
      <c r="AH853" s="5" t="s">
        <v>2</v>
      </c>
      <c r="AI853" s="5" t="s">
        <v>1312</v>
      </c>
      <c r="AJ853" s="5" t="s">
        <v>824</v>
      </c>
      <c r="AK853" s="21" t="s">
        <v>2</v>
      </c>
      <c r="AL853" s="72" t="s">
        <v>825</v>
      </c>
      <c r="AM853" s="54" t="s">
        <v>4179</v>
      </c>
      <c r="AN853" s="34" t="s">
        <v>1189</v>
      </c>
    </row>
    <row r="854" spans="2:40" x14ac:dyDescent="0.3">
      <c r="B854" s="18" t="s">
        <v>2917</v>
      </c>
      <c r="C854" s="47" t="s">
        <v>2437</v>
      </c>
      <c r="D854" s="15" t="s">
        <v>660</v>
      </c>
      <c r="E854" s="68" t="s">
        <v>2</v>
      </c>
      <c r="F854" s="55" t="s">
        <v>2</v>
      </c>
      <c r="G854" s="40" t="s">
        <v>1921</v>
      </c>
      <c r="H854" s="71" t="s">
        <v>3894</v>
      </c>
      <c r="I854" s="67" t="s">
        <v>3408</v>
      </c>
      <c r="J854" s="73" t="s">
        <v>270</v>
      </c>
      <c r="K854" s="4">
        <v>3840000</v>
      </c>
      <c r="L854" s="41">
        <v>94.637</v>
      </c>
      <c r="M854" s="4">
        <v>3634042</v>
      </c>
      <c r="N854" s="4">
        <v>3840000</v>
      </c>
      <c r="O854" s="4">
        <v>3840000</v>
      </c>
      <c r="P854" s="4">
        <v>0</v>
      </c>
      <c r="Q854" s="4">
        <v>0</v>
      </c>
      <c r="R854" s="4">
        <v>0</v>
      </c>
      <c r="S854" s="4">
        <v>0</v>
      </c>
      <c r="T854" s="23">
        <v>4.1159999999999997</v>
      </c>
      <c r="U854" s="23">
        <v>4.1360000000000001</v>
      </c>
      <c r="V854" s="5" t="s">
        <v>3551</v>
      </c>
      <c r="W854" s="4">
        <v>28977</v>
      </c>
      <c r="X854" s="4">
        <v>158054</v>
      </c>
      <c r="Y854" s="14">
        <v>43209</v>
      </c>
      <c r="Z854" s="14">
        <v>54264</v>
      </c>
      <c r="AA854" s="2"/>
      <c r="AB854" s="69" t="s">
        <v>3892</v>
      </c>
      <c r="AC854" s="5" t="s">
        <v>7</v>
      </c>
      <c r="AD854" s="84" t="s">
        <v>161</v>
      </c>
      <c r="AE854" s="10"/>
      <c r="AF854" s="23"/>
      <c r="AG854" s="14">
        <v>45955</v>
      </c>
      <c r="AH854" s="5" t="s">
        <v>2</v>
      </c>
      <c r="AI854" s="5" t="s">
        <v>2918</v>
      </c>
      <c r="AJ854" s="5" t="s">
        <v>824</v>
      </c>
      <c r="AK854" s="21" t="s">
        <v>2</v>
      </c>
      <c r="AL854" s="72" t="s">
        <v>2745</v>
      </c>
      <c r="AM854" s="54" t="s">
        <v>4179</v>
      </c>
      <c r="AN854" s="34" t="s">
        <v>1650</v>
      </c>
    </row>
    <row r="855" spans="2:40" x14ac:dyDescent="0.3">
      <c r="B855" s="18" t="s">
        <v>4056</v>
      </c>
      <c r="C855" s="47" t="s">
        <v>1013</v>
      </c>
      <c r="D855" s="15" t="s">
        <v>660</v>
      </c>
      <c r="E855" s="68" t="s">
        <v>2</v>
      </c>
      <c r="F855" s="55" t="s">
        <v>2</v>
      </c>
      <c r="G855" s="40" t="s">
        <v>3894</v>
      </c>
      <c r="H855" s="71" t="s">
        <v>3894</v>
      </c>
      <c r="I855" s="67" t="s">
        <v>3408</v>
      </c>
      <c r="J855" s="73" t="s">
        <v>270</v>
      </c>
      <c r="K855" s="4">
        <v>9850000</v>
      </c>
      <c r="L855" s="41">
        <v>83.114999999999995</v>
      </c>
      <c r="M855" s="4">
        <v>8186837</v>
      </c>
      <c r="N855" s="4">
        <v>9850000</v>
      </c>
      <c r="O855" s="4">
        <v>9850000</v>
      </c>
      <c r="P855" s="4">
        <v>0</v>
      </c>
      <c r="Q855" s="4">
        <v>0</v>
      </c>
      <c r="R855" s="4">
        <v>0</v>
      </c>
      <c r="S855" s="4">
        <v>0</v>
      </c>
      <c r="T855" s="23">
        <v>2.6619999999999999</v>
      </c>
      <c r="U855" s="23">
        <v>2.6709999999999998</v>
      </c>
      <c r="V855" s="5" t="s">
        <v>3551</v>
      </c>
      <c r="W855" s="4">
        <v>48071</v>
      </c>
      <c r="X855" s="4">
        <v>262207</v>
      </c>
      <c r="Y855" s="14">
        <v>44294</v>
      </c>
      <c r="Z855" s="14">
        <v>55268</v>
      </c>
      <c r="AA855" s="2"/>
      <c r="AB855" s="69" t="s">
        <v>3892</v>
      </c>
      <c r="AC855" s="5" t="s">
        <v>7</v>
      </c>
      <c r="AD855" s="84" t="s">
        <v>3564</v>
      </c>
      <c r="AE855" s="14">
        <v>45955</v>
      </c>
      <c r="AF855" s="23">
        <v>100</v>
      </c>
      <c r="AG855" s="14">
        <v>47051</v>
      </c>
      <c r="AH855" s="5" t="s">
        <v>2</v>
      </c>
      <c r="AI855" s="5" t="s">
        <v>2918</v>
      </c>
      <c r="AJ855" s="5" t="s">
        <v>824</v>
      </c>
      <c r="AK855" s="21" t="s">
        <v>2</v>
      </c>
      <c r="AL855" s="72" t="s">
        <v>2745</v>
      </c>
      <c r="AM855" s="54" t="s">
        <v>4179</v>
      </c>
      <c r="AN855" s="34" t="s">
        <v>1650</v>
      </c>
    </row>
    <row r="856" spans="2:40" x14ac:dyDescent="0.3">
      <c r="B856" s="18" t="s">
        <v>661</v>
      </c>
      <c r="C856" s="47" t="s">
        <v>1524</v>
      </c>
      <c r="D856" s="15" t="s">
        <v>1525</v>
      </c>
      <c r="E856" s="68" t="s">
        <v>2</v>
      </c>
      <c r="F856" s="55" t="s">
        <v>2</v>
      </c>
      <c r="G856" s="40" t="s">
        <v>3894</v>
      </c>
      <c r="H856" s="71" t="s">
        <v>3894</v>
      </c>
      <c r="I856" s="67" t="s">
        <v>1164</v>
      </c>
      <c r="J856" s="73" t="s">
        <v>270</v>
      </c>
      <c r="K856" s="4">
        <v>2803287</v>
      </c>
      <c r="L856" s="41">
        <v>85.73</v>
      </c>
      <c r="M856" s="4">
        <v>2388333</v>
      </c>
      <c r="N856" s="4">
        <v>2785875</v>
      </c>
      <c r="O856" s="4">
        <v>2796905</v>
      </c>
      <c r="P856" s="4">
        <v>0</v>
      </c>
      <c r="Q856" s="4">
        <v>-2440</v>
      </c>
      <c r="R856" s="4">
        <v>0</v>
      </c>
      <c r="S856" s="4">
        <v>0</v>
      </c>
      <c r="T856" s="23">
        <v>3.786</v>
      </c>
      <c r="U856" s="23">
        <v>3.629</v>
      </c>
      <c r="V856" s="5" t="s">
        <v>3551</v>
      </c>
      <c r="W856" s="4">
        <v>20802</v>
      </c>
      <c r="X856" s="4">
        <v>105473</v>
      </c>
      <c r="Y856" s="14">
        <v>44011</v>
      </c>
      <c r="Z856" s="14">
        <v>54989</v>
      </c>
      <c r="AA856" s="2"/>
      <c r="AB856" s="69" t="s">
        <v>3892</v>
      </c>
      <c r="AC856" s="5" t="s">
        <v>7</v>
      </c>
      <c r="AD856" s="84" t="s">
        <v>1921</v>
      </c>
      <c r="AE856" s="9">
        <v>46042</v>
      </c>
      <c r="AF856" s="23">
        <v>100</v>
      </c>
      <c r="AG856" s="14">
        <v>46588</v>
      </c>
      <c r="AH856" s="5" t="s">
        <v>2</v>
      </c>
      <c r="AI856" s="5" t="s">
        <v>2650</v>
      </c>
      <c r="AJ856" s="5" t="s">
        <v>824</v>
      </c>
      <c r="AK856" s="21" t="s">
        <v>2</v>
      </c>
      <c r="AL856" s="72" t="s">
        <v>2745</v>
      </c>
      <c r="AM856" s="54" t="s">
        <v>4179</v>
      </c>
      <c r="AN856" s="34" t="s">
        <v>828</v>
      </c>
    </row>
    <row r="857" spans="2:40" x14ac:dyDescent="0.3">
      <c r="B857" s="18" t="s">
        <v>1800</v>
      </c>
      <c r="C857" s="47" t="s">
        <v>1313</v>
      </c>
      <c r="D857" s="15" t="s">
        <v>1525</v>
      </c>
      <c r="E857" s="68" t="s">
        <v>2</v>
      </c>
      <c r="F857" s="55" t="s">
        <v>2</v>
      </c>
      <c r="G857" s="40" t="s">
        <v>3894</v>
      </c>
      <c r="H857" s="71" t="s">
        <v>3894</v>
      </c>
      <c r="I857" s="67" t="s">
        <v>1164</v>
      </c>
      <c r="J857" s="73" t="s">
        <v>270</v>
      </c>
      <c r="K857" s="4">
        <v>2456250</v>
      </c>
      <c r="L857" s="41">
        <v>82.632999999999996</v>
      </c>
      <c r="M857" s="4">
        <v>2029673</v>
      </c>
      <c r="N857" s="4">
        <v>2456250</v>
      </c>
      <c r="O857" s="4">
        <v>2456250</v>
      </c>
      <c r="P857" s="4">
        <v>0</v>
      </c>
      <c r="Q857" s="4">
        <v>0</v>
      </c>
      <c r="R857" s="4">
        <v>0</v>
      </c>
      <c r="S857" s="4">
        <v>0</v>
      </c>
      <c r="T857" s="23">
        <v>3.2370000000000001</v>
      </c>
      <c r="U857" s="23">
        <v>3.25</v>
      </c>
      <c r="V857" s="5" t="s">
        <v>3551</v>
      </c>
      <c r="W857" s="4">
        <v>15681</v>
      </c>
      <c r="X857" s="4">
        <v>79509</v>
      </c>
      <c r="Y857" s="14">
        <v>44133</v>
      </c>
      <c r="Z857" s="14">
        <v>55173</v>
      </c>
      <c r="AA857" s="2"/>
      <c r="AB857" s="69" t="s">
        <v>3892</v>
      </c>
      <c r="AC857" s="5" t="s">
        <v>7</v>
      </c>
      <c r="AD857" s="84" t="s">
        <v>161</v>
      </c>
      <c r="AE857" s="14">
        <v>45677</v>
      </c>
      <c r="AF857" s="23">
        <v>100</v>
      </c>
      <c r="AG857" s="14">
        <v>46772</v>
      </c>
      <c r="AH857" s="5" t="s">
        <v>2</v>
      </c>
      <c r="AI857" s="5" t="s">
        <v>2650</v>
      </c>
      <c r="AJ857" s="5" t="s">
        <v>824</v>
      </c>
      <c r="AK857" s="21" t="s">
        <v>2</v>
      </c>
      <c r="AL857" s="72" t="s">
        <v>2745</v>
      </c>
      <c r="AM857" s="54" t="s">
        <v>4179</v>
      </c>
      <c r="AN857" s="34" t="s">
        <v>828</v>
      </c>
    </row>
    <row r="858" spans="2:40" x14ac:dyDescent="0.3">
      <c r="B858" s="18" t="s">
        <v>2919</v>
      </c>
      <c r="C858" s="47" t="s">
        <v>2651</v>
      </c>
      <c r="D858" s="15" t="s">
        <v>1525</v>
      </c>
      <c r="E858" s="68" t="s">
        <v>2</v>
      </c>
      <c r="F858" s="55" t="s">
        <v>2</v>
      </c>
      <c r="G858" s="40" t="s">
        <v>3894</v>
      </c>
      <c r="H858" s="71" t="s">
        <v>3894</v>
      </c>
      <c r="I858" s="67" t="s">
        <v>1164</v>
      </c>
      <c r="J858" s="73" t="s">
        <v>270</v>
      </c>
      <c r="K858" s="4">
        <v>4000000</v>
      </c>
      <c r="L858" s="41">
        <v>99.686999999999998</v>
      </c>
      <c r="M858" s="4">
        <v>3987492</v>
      </c>
      <c r="N858" s="4">
        <v>4000000</v>
      </c>
      <c r="O858" s="4">
        <v>4000000</v>
      </c>
      <c r="P858" s="4">
        <v>0</v>
      </c>
      <c r="Q858" s="4">
        <v>0</v>
      </c>
      <c r="R858" s="4">
        <v>0</v>
      </c>
      <c r="S858" s="4">
        <v>0</v>
      </c>
      <c r="T858" s="23">
        <v>7.3929999999999998</v>
      </c>
      <c r="U858" s="23">
        <v>7.4619999999999997</v>
      </c>
      <c r="V858" s="5" t="s">
        <v>3551</v>
      </c>
      <c r="W858" s="4">
        <v>58323</v>
      </c>
      <c r="X858" s="4">
        <v>12322</v>
      </c>
      <c r="Y858" s="14">
        <v>44832</v>
      </c>
      <c r="Z858" s="14">
        <v>55812</v>
      </c>
      <c r="AA858" s="2"/>
      <c r="AB858" s="69" t="s">
        <v>3892</v>
      </c>
      <c r="AC858" s="5" t="s">
        <v>7</v>
      </c>
      <c r="AD858" s="84" t="s">
        <v>3564</v>
      </c>
      <c r="AE858" s="9">
        <v>45950</v>
      </c>
      <c r="AF858" s="23">
        <v>100</v>
      </c>
      <c r="AG858" s="14">
        <v>46680</v>
      </c>
      <c r="AH858" s="5" t="s">
        <v>2</v>
      </c>
      <c r="AI858" s="5" t="s">
        <v>2650</v>
      </c>
      <c r="AJ858" s="5" t="s">
        <v>824</v>
      </c>
      <c r="AK858" s="21" t="s">
        <v>2</v>
      </c>
      <c r="AL858" s="72" t="s">
        <v>3894</v>
      </c>
      <c r="AM858" s="54" t="s">
        <v>4179</v>
      </c>
      <c r="AN858" s="34" t="s">
        <v>828</v>
      </c>
    </row>
    <row r="859" spans="2:40" x14ac:dyDescent="0.3">
      <c r="B859" s="18" t="s">
        <v>4057</v>
      </c>
      <c r="C859" s="47" t="s">
        <v>4415</v>
      </c>
      <c r="D859" s="15" t="s">
        <v>168</v>
      </c>
      <c r="E859" s="68" t="s">
        <v>2</v>
      </c>
      <c r="F859" s="55" t="s">
        <v>2</v>
      </c>
      <c r="G859" s="40" t="s">
        <v>1921</v>
      </c>
      <c r="H859" s="71" t="s">
        <v>2745</v>
      </c>
      <c r="I859" s="67" t="s">
        <v>3408</v>
      </c>
      <c r="J859" s="73" t="s">
        <v>270</v>
      </c>
      <c r="K859" s="4">
        <v>3999183</v>
      </c>
      <c r="L859" s="41">
        <v>97.46</v>
      </c>
      <c r="M859" s="4">
        <v>3898410</v>
      </c>
      <c r="N859" s="4">
        <v>4000000</v>
      </c>
      <c r="O859" s="4">
        <v>3999728</v>
      </c>
      <c r="P859" s="4">
        <v>0</v>
      </c>
      <c r="Q859" s="4">
        <v>200</v>
      </c>
      <c r="R859" s="4">
        <v>0</v>
      </c>
      <c r="S859" s="4">
        <v>0</v>
      </c>
      <c r="T859" s="23">
        <v>1.86</v>
      </c>
      <c r="U859" s="23">
        <v>1.8720000000000001</v>
      </c>
      <c r="V859" s="5" t="s">
        <v>398</v>
      </c>
      <c r="W859" s="4">
        <v>2273</v>
      </c>
      <c r="X859" s="4">
        <v>74400</v>
      </c>
      <c r="Y859" s="14">
        <v>43872</v>
      </c>
      <c r="Z859" s="14">
        <v>46013</v>
      </c>
      <c r="AA859" s="2"/>
      <c r="AB859" s="69" t="s">
        <v>3892</v>
      </c>
      <c r="AC859" s="5" t="s">
        <v>7</v>
      </c>
      <c r="AD859" s="84" t="s">
        <v>1921</v>
      </c>
      <c r="AE859" s="10"/>
      <c r="AF859" s="23"/>
      <c r="AG859" s="14">
        <v>45463</v>
      </c>
      <c r="AH859" s="5" t="s">
        <v>2</v>
      </c>
      <c r="AI859" s="5" t="s">
        <v>2438</v>
      </c>
      <c r="AJ859" s="5" t="s">
        <v>824</v>
      </c>
      <c r="AK859" s="21" t="s">
        <v>2</v>
      </c>
      <c r="AL859" s="72" t="s">
        <v>2745</v>
      </c>
      <c r="AM859" s="54" t="s">
        <v>4179</v>
      </c>
      <c r="AN859" s="34" t="s">
        <v>2278</v>
      </c>
    </row>
    <row r="860" spans="2:40" x14ac:dyDescent="0.3">
      <c r="B860" s="18" t="s">
        <v>662</v>
      </c>
      <c r="C860" s="47" t="s">
        <v>1314</v>
      </c>
      <c r="D860" s="15" t="s">
        <v>168</v>
      </c>
      <c r="E860" s="68" t="s">
        <v>2</v>
      </c>
      <c r="F860" s="55" t="s">
        <v>2</v>
      </c>
      <c r="G860" s="40" t="s">
        <v>3894</v>
      </c>
      <c r="H860" s="71" t="s">
        <v>2745</v>
      </c>
      <c r="I860" s="67" t="s">
        <v>3408</v>
      </c>
      <c r="J860" s="73" t="s">
        <v>270</v>
      </c>
      <c r="K860" s="4">
        <v>14996972</v>
      </c>
      <c r="L860" s="41">
        <v>98.17</v>
      </c>
      <c r="M860" s="4">
        <v>14725536</v>
      </c>
      <c r="N860" s="4">
        <v>15000000</v>
      </c>
      <c r="O860" s="4">
        <v>14997360</v>
      </c>
      <c r="P860" s="4">
        <v>0</v>
      </c>
      <c r="Q860" s="4">
        <v>389</v>
      </c>
      <c r="R860" s="4">
        <v>0</v>
      </c>
      <c r="S860" s="4">
        <v>0</v>
      </c>
      <c r="T860" s="23">
        <v>4.79</v>
      </c>
      <c r="U860" s="23">
        <v>4.8440000000000003</v>
      </c>
      <c r="V860" s="5" t="s">
        <v>398</v>
      </c>
      <c r="W860" s="4">
        <v>21954</v>
      </c>
      <c r="X860" s="4">
        <v>355258</v>
      </c>
      <c r="Y860" s="14">
        <v>44727</v>
      </c>
      <c r="Z860" s="14">
        <v>47259</v>
      </c>
      <c r="AA860" s="2"/>
      <c r="AB860" s="69" t="s">
        <v>3892</v>
      </c>
      <c r="AC860" s="5" t="s">
        <v>7</v>
      </c>
      <c r="AD860" s="84" t="s">
        <v>1921</v>
      </c>
      <c r="AE860" s="14">
        <v>46073</v>
      </c>
      <c r="AF860" s="23">
        <v>100</v>
      </c>
      <c r="AG860" s="14">
        <v>46193</v>
      </c>
      <c r="AH860" s="5" t="s">
        <v>2</v>
      </c>
      <c r="AI860" s="5" t="s">
        <v>2438</v>
      </c>
      <c r="AJ860" s="5" t="s">
        <v>824</v>
      </c>
      <c r="AK860" s="21" t="s">
        <v>2</v>
      </c>
      <c r="AL860" s="72" t="s">
        <v>2745</v>
      </c>
      <c r="AM860" s="54" t="s">
        <v>4179</v>
      </c>
      <c r="AN860" s="34" t="s">
        <v>2278</v>
      </c>
    </row>
    <row r="861" spans="2:40" x14ac:dyDescent="0.3">
      <c r="B861" s="18" t="s">
        <v>1801</v>
      </c>
      <c r="C861" s="47" t="s">
        <v>4416</v>
      </c>
      <c r="D861" s="15" t="s">
        <v>3786</v>
      </c>
      <c r="E861" s="68" t="s">
        <v>2</v>
      </c>
      <c r="F861" s="55" t="s">
        <v>2</v>
      </c>
      <c r="G861" s="40" t="s">
        <v>1921</v>
      </c>
      <c r="H861" s="71" t="s">
        <v>2745</v>
      </c>
      <c r="I861" s="67" t="s">
        <v>1164</v>
      </c>
      <c r="J861" s="73" t="s">
        <v>270</v>
      </c>
      <c r="K861" s="4">
        <v>3998438</v>
      </c>
      <c r="L861" s="41">
        <v>98.626999999999995</v>
      </c>
      <c r="M861" s="4">
        <v>3945077</v>
      </c>
      <c r="N861" s="4">
        <v>4000000</v>
      </c>
      <c r="O861" s="4">
        <v>3999101</v>
      </c>
      <c r="P861" s="4">
        <v>0</v>
      </c>
      <c r="Q861" s="4">
        <v>161</v>
      </c>
      <c r="R861" s="4">
        <v>0</v>
      </c>
      <c r="S861" s="4">
        <v>0</v>
      </c>
      <c r="T861" s="23">
        <v>3.61</v>
      </c>
      <c r="U861" s="23">
        <v>3.6419999999999999</v>
      </c>
      <c r="V861" s="5" t="s">
        <v>398</v>
      </c>
      <c r="W861" s="4">
        <v>6418</v>
      </c>
      <c r="X861" s="4">
        <v>144400</v>
      </c>
      <c r="Y861" s="14">
        <v>43298</v>
      </c>
      <c r="Z861" s="14">
        <v>47498</v>
      </c>
      <c r="AA861" s="2"/>
      <c r="AB861" s="69" t="s">
        <v>3892</v>
      </c>
      <c r="AC861" s="5" t="s">
        <v>7</v>
      </c>
      <c r="AD861" s="84" t="s">
        <v>1921</v>
      </c>
      <c r="AE861" s="10"/>
      <c r="AF861" s="23"/>
      <c r="AG861" s="14">
        <v>45122</v>
      </c>
      <c r="AH861" s="5" t="s">
        <v>2</v>
      </c>
      <c r="AI861" s="5" t="s">
        <v>3271</v>
      </c>
      <c r="AJ861" s="5" t="s">
        <v>824</v>
      </c>
      <c r="AK861" s="21" t="s">
        <v>2</v>
      </c>
      <c r="AL861" s="72" t="s">
        <v>2745</v>
      </c>
      <c r="AM861" s="54" t="s">
        <v>4179</v>
      </c>
      <c r="AN861" s="34" t="s">
        <v>1625</v>
      </c>
    </row>
    <row r="862" spans="2:40" x14ac:dyDescent="0.3">
      <c r="B862" s="18" t="s">
        <v>2920</v>
      </c>
      <c r="C862" s="47" t="s">
        <v>2439</v>
      </c>
      <c r="D862" s="15" t="s">
        <v>3786</v>
      </c>
      <c r="E862" s="68" t="s">
        <v>2</v>
      </c>
      <c r="F862" s="55" t="s">
        <v>2</v>
      </c>
      <c r="G862" s="40" t="s">
        <v>1921</v>
      </c>
      <c r="H862" s="71" t="s">
        <v>2745</v>
      </c>
      <c r="I862" s="67" t="s">
        <v>287</v>
      </c>
      <c r="J862" s="73" t="s">
        <v>270</v>
      </c>
      <c r="K862" s="4">
        <v>5998288</v>
      </c>
      <c r="L862" s="41">
        <v>98.501000000000005</v>
      </c>
      <c r="M862" s="4">
        <v>5910087</v>
      </c>
      <c r="N862" s="4">
        <v>6000000</v>
      </c>
      <c r="O862" s="4">
        <v>5998681</v>
      </c>
      <c r="P862" s="4">
        <v>0</v>
      </c>
      <c r="Q862" s="4">
        <v>98</v>
      </c>
      <c r="R862" s="4">
        <v>0</v>
      </c>
      <c r="S862" s="4">
        <v>0</v>
      </c>
      <c r="T862" s="23">
        <v>3.76</v>
      </c>
      <c r="U862" s="23">
        <v>3.7919999999999998</v>
      </c>
      <c r="V862" s="5" t="s">
        <v>398</v>
      </c>
      <c r="W862" s="4">
        <v>10027</v>
      </c>
      <c r="X862" s="4">
        <v>225600</v>
      </c>
      <c r="Y862" s="14">
        <v>43298</v>
      </c>
      <c r="Z862" s="14">
        <v>47498</v>
      </c>
      <c r="AA862" s="2"/>
      <c r="AB862" s="69" t="s">
        <v>3892</v>
      </c>
      <c r="AC862" s="5" t="s">
        <v>7</v>
      </c>
      <c r="AD862" s="84" t="s">
        <v>1921</v>
      </c>
      <c r="AE862" s="10"/>
      <c r="AF862" s="23"/>
      <c r="AG862" s="14">
        <v>45122</v>
      </c>
      <c r="AH862" s="5" t="s">
        <v>2</v>
      </c>
      <c r="AI862" s="5" t="s">
        <v>3271</v>
      </c>
      <c r="AJ862" s="5" t="s">
        <v>824</v>
      </c>
      <c r="AK862" s="21" t="s">
        <v>2</v>
      </c>
      <c r="AL862" s="72" t="s">
        <v>2745</v>
      </c>
      <c r="AM862" s="54" t="s">
        <v>4179</v>
      </c>
      <c r="AN862" s="34" t="s">
        <v>819</v>
      </c>
    </row>
    <row r="863" spans="2:40" x14ac:dyDescent="0.3">
      <c r="B863" s="18" t="s">
        <v>663</v>
      </c>
      <c r="C863" s="47" t="s">
        <v>3570</v>
      </c>
      <c r="D863" s="15" t="s">
        <v>3787</v>
      </c>
      <c r="E863" s="68" t="s">
        <v>2</v>
      </c>
      <c r="F863" s="55" t="s">
        <v>2</v>
      </c>
      <c r="G863" s="40" t="s">
        <v>2745</v>
      </c>
      <c r="H863" s="71" t="s">
        <v>2745</v>
      </c>
      <c r="I863" s="67" t="s">
        <v>3660</v>
      </c>
      <c r="J863" s="73" t="s">
        <v>270</v>
      </c>
      <c r="K863" s="4">
        <v>11997978</v>
      </c>
      <c r="L863" s="41">
        <v>97.29</v>
      </c>
      <c r="M863" s="4">
        <v>11674840</v>
      </c>
      <c r="N863" s="4">
        <v>12000000</v>
      </c>
      <c r="O863" s="4">
        <v>11998484</v>
      </c>
      <c r="P863" s="4">
        <v>0</v>
      </c>
      <c r="Q863" s="4">
        <v>506</v>
      </c>
      <c r="R863" s="4">
        <v>0</v>
      </c>
      <c r="S863" s="4">
        <v>0</v>
      </c>
      <c r="T863" s="23">
        <v>4.18</v>
      </c>
      <c r="U863" s="23">
        <v>4.2240000000000002</v>
      </c>
      <c r="V863" s="5" t="s">
        <v>398</v>
      </c>
      <c r="W863" s="4">
        <v>22293</v>
      </c>
      <c r="X863" s="4">
        <v>319073</v>
      </c>
      <c r="Y863" s="14">
        <v>44672</v>
      </c>
      <c r="Z863" s="14">
        <v>45945</v>
      </c>
      <c r="AA863" s="2"/>
      <c r="AB863" s="69" t="s">
        <v>3892</v>
      </c>
      <c r="AC863" s="5" t="s">
        <v>4178</v>
      </c>
      <c r="AD863" s="84" t="s">
        <v>1921</v>
      </c>
      <c r="AE863" s="14">
        <v>45611</v>
      </c>
      <c r="AF863" s="23">
        <v>100</v>
      </c>
      <c r="AG863" s="14">
        <v>45611</v>
      </c>
      <c r="AH863" s="5" t="s">
        <v>2</v>
      </c>
      <c r="AI863" s="5" t="s">
        <v>2652</v>
      </c>
      <c r="AJ863" s="5" t="s">
        <v>3272</v>
      </c>
      <c r="AK863" s="21" t="s">
        <v>2</v>
      </c>
      <c r="AL863" s="72" t="s">
        <v>825</v>
      </c>
      <c r="AM863" s="54" t="s">
        <v>4179</v>
      </c>
      <c r="AN863" s="34" t="s">
        <v>1170</v>
      </c>
    </row>
    <row r="864" spans="2:40" x14ac:dyDescent="0.3">
      <c r="B864" s="18" t="s">
        <v>1802</v>
      </c>
      <c r="C864" s="47" t="s">
        <v>1526</v>
      </c>
      <c r="D864" s="15" t="s">
        <v>3787</v>
      </c>
      <c r="E864" s="68" t="s">
        <v>2</v>
      </c>
      <c r="F864" s="55" t="s">
        <v>2</v>
      </c>
      <c r="G864" s="40" t="s">
        <v>2745</v>
      </c>
      <c r="H864" s="71" t="s">
        <v>3894</v>
      </c>
      <c r="I864" s="67" t="s">
        <v>8</v>
      </c>
      <c r="J864" s="73" t="s">
        <v>270</v>
      </c>
      <c r="K864" s="4">
        <v>4290337</v>
      </c>
      <c r="L864" s="41">
        <v>96.533000000000001</v>
      </c>
      <c r="M864" s="4">
        <v>4150904</v>
      </c>
      <c r="N864" s="4">
        <v>4300000</v>
      </c>
      <c r="O864" s="4">
        <v>4292744</v>
      </c>
      <c r="P864" s="4">
        <v>0</v>
      </c>
      <c r="Q864" s="4">
        <v>2407</v>
      </c>
      <c r="R864" s="4">
        <v>0</v>
      </c>
      <c r="S864" s="4">
        <v>0</v>
      </c>
      <c r="T864" s="23">
        <v>4.66</v>
      </c>
      <c r="U864" s="23">
        <v>4.8</v>
      </c>
      <c r="V864" s="5" t="s">
        <v>398</v>
      </c>
      <c r="W864" s="4">
        <v>8906</v>
      </c>
      <c r="X864" s="4">
        <v>127464</v>
      </c>
      <c r="Y864" s="14">
        <v>44672</v>
      </c>
      <c r="Z864" s="14">
        <v>46371</v>
      </c>
      <c r="AA864" s="2"/>
      <c r="AB864" s="69" t="s">
        <v>3892</v>
      </c>
      <c r="AC864" s="5" t="s">
        <v>4178</v>
      </c>
      <c r="AD864" s="84" t="s">
        <v>1921</v>
      </c>
      <c r="AE864" s="14">
        <v>45611</v>
      </c>
      <c r="AF864" s="23">
        <v>100</v>
      </c>
      <c r="AG864" s="14">
        <v>45641</v>
      </c>
      <c r="AH864" s="5" t="s">
        <v>2</v>
      </c>
      <c r="AI864" s="5" t="s">
        <v>2652</v>
      </c>
      <c r="AJ864" s="5" t="s">
        <v>3272</v>
      </c>
      <c r="AK864" s="21" t="s">
        <v>2</v>
      </c>
      <c r="AL864" s="72" t="s">
        <v>825</v>
      </c>
      <c r="AM864" s="54" t="s">
        <v>4179</v>
      </c>
      <c r="AN864" s="34" t="s">
        <v>1189</v>
      </c>
    </row>
    <row r="865" spans="2:40" x14ac:dyDescent="0.3">
      <c r="B865" s="18" t="s">
        <v>2921</v>
      </c>
      <c r="C865" s="47" t="s">
        <v>3571</v>
      </c>
      <c r="D865" s="15" t="s">
        <v>3786</v>
      </c>
      <c r="E865" s="68" t="s">
        <v>2</v>
      </c>
      <c r="F865" s="55" t="s">
        <v>2</v>
      </c>
      <c r="G865" s="40" t="s">
        <v>3894</v>
      </c>
      <c r="H865" s="71" t="s">
        <v>2745</v>
      </c>
      <c r="I865" s="67" t="s">
        <v>3408</v>
      </c>
      <c r="J865" s="73" t="s">
        <v>270</v>
      </c>
      <c r="K865" s="4">
        <v>5998058</v>
      </c>
      <c r="L865" s="41">
        <v>89.620999999999995</v>
      </c>
      <c r="M865" s="4">
        <v>5377268</v>
      </c>
      <c r="N865" s="4">
        <v>6000000</v>
      </c>
      <c r="O865" s="4">
        <v>5998907</v>
      </c>
      <c r="P865" s="4">
        <v>0</v>
      </c>
      <c r="Q865" s="4">
        <v>384</v>
      </c>
      <c r="R865" s="4">
        <v>0</v>
      </c>
      <c r="S865" s="4">
        <v>0</v>
      </c>
      <c r="T865" s="23">
        <v>1.06</v>
      </c>
      <c r="U865" s="23">
        <v>1.069</v>
      </c>
      <c r="V865" s="5" t="s">
        <v>398</v>
      </c>
      <c r="W865" s="4">
        <v>2650</v>
      </c>
      <c r="X865" s="4">
        <v>63600</v>
      </c>
      <c r="Y865" s="14">
        <v>44110</v>
      </c>
      <c r="Z865" s="14">
        <v>48684</v>
      </c>
      <c r="AA865" s="2"/>
      <c r="AB865" s="69" t="s">
        <v>3892</v>
      </c>
      <c r="AC865" s="5" t="s">
        <v>7</v>
      </c>
      <c r="AD865" s="84" t="s">
        <v>1921</v>
      </c>
      <c r="AE865" s="14">
        <v>45945</v>
      </c>
      <c r="AF865" s="23">
        <v>100</v>
      </c>
      <c r="AG865" s="14">
        <v>45946</v>
      </c>
      <c r="AH865" s="5" t="s">
        <v>2</v>
      </c>
      <c r="AI865" s="5" t="s">
        <v>3271</v>
      </c>
      <c r="AJ865" s="5" t="s">
        <v>824</v>
      </c>
      <c r="AK865" s="21" t="s">
        <v>2</v>
      </c>
      <c r="AL865" s="72" t="s">
        <v>2745</v>
      </c>
      <c r="AM865" s="54" t="s">
        <v>4179</v>
      </c>
      <c r="AN865" s="34" t="s">
        <v>2278</v>
      </c>
    </row>
    <row r="866" spans="2:40" x14ac:dyDescent="0.3">
      <c r="B866" s="18" t="s">
        <v>4058</v>
      </c>
      <c r="C866" s="47" t="s">
        <v>3572</v>
      </c>
      <c r="D866" s="15" t="s">
        <v>3786</v>
      </c>
      <c r="E866" s="68" t="s">
        <v>2</v>
      </c>
      <c r="F866" s="55" t="s">
        <v>2</v>
      </c>
      <c r="G866" s="40" t="s">
        <v>3894</v>
      </c>
      <c r="H866" s="71" t="s">
        <v>2745</v>
      </c>
      <c r="I866" s="67" t="s">
        <v>1164</v>
      </c>
      <c r="J866" s="73" t="s">
        <v>270</v>
      </c>
      <c r="K866" s="4">
        <v>8998112</v>
      </c>
      <c r="L866" s="41">
        <v>87.596999999999994</v>
      </c>
      <c r="M866" s="4">
        <v>7883723</v>
      </c>
      <c r="N866" s="4">
        <v>9000000</v>
      </c>
      <c r="O866" s="4">
        <v>8998932</v>
      </c>
      <c r="P866" s="4">
        <v>0</v>
      </c>
      <c r="Q866" s="4">
        <v>371</v>
      </c>
      <c r="R866" s="4">
        <v>0</v>
      </c>
      <c r="S866" s="4">
        <v>0</v>
      </c>
      <c r="T866" s="23">
        <v>1.49</v>
      </c>
      <c r="U866" s="23">
        <v>1.4990000000000001</v>
      </c>
      <c r="V866" s="5" t="s">
        <v>398</v>
      </c>
      <c r="W866" s="4">
        <v>5588</v>
      </c>
      <c r="X866" s="4">
        <v>134100</v>
      </c>
      <c r="Y866" s="14">
        <v>44110</v>
      </c>
      <c r="Z866" s="14">
        <v>48684</v>
      </c>
      <c r="AA866" s="2"/>
      <c r="AB866" s="69" t="s">
        <v>3892</v>
      </c>
      <c r="AC866" s="5" t="s">
        <v>7</v>
      </c>
      <c r="AD866" s="84" t="s">
        <v>1921</v>
      </c>
      <c r="AE866" s="14">
        <v>45945</v>
      </c>
      <c r="AF866" s="23">
        <v>100</v>
      </c>
      <c r="AG866" s="14">
        <v>45946</v>
      </c>
      <c r="AH866" s="5" t="s">
        <v>2</v>
      </c>
      <c r="AI866" s="5" t="s">
        <v>3271</v>
      </c>
      <c r="AJ866" s="5" t="s">
        <v>824</v>
      </c>
      <c r="AK866" s="21" t="s">
        <v>2</v>
      </c>
      <c r="AL866" s="72" t="s">
        <v>2745</v>
      </c>
      <c r="AM866" s="54" t="s">
        <v>4179</v>
      </c>
      <c r="AN866" s="34" t="s">
        <v>1625</v>
      </c>
    </row>
    <row r="867" spans="2:40" x14ac:dyDescent="0.3">
      <c r="B867" s="18" t="s">
        <v>664</v>
      </c>
      <c r="C867" s="47" t="s">
        <v>1527</v>
      </c>
      <c r="D867" s="15" t="s">
        <v>3786</v>
      </c>
      <c r="E867" s="68" t="s">
        <v>2</v>
      </c>
      <c r="F867" s="55" t="s">
        <v>2</v>
      </c>
      <c r="G867" s="40" t="s">
        <v>3894</v>
      </c>
      <c r="H867" s="71" t="s">
        <v>2745</v>
      </c>
      <c r="I867" s="67" t="s">
        <v>287</v>
      </c>
      <c r="J867" s="73" t="s">
        <v>270</v>
      </c>
      <c r="K867" s="4">
        <v>4999360</v>
      </c>
      <c r="L867" s="41">
        <v>86.510999999999996</v>
      </c>
      <c r="M867" s="4">
        <v>4325531</v>
      </c>
      <c r="N867" s="4">
        <v>5000000</v>
      </c>
      <c r="O867" s="4">
        <v>4999637</v>
      </c>
      <c r="P867" s="4">
        <v>0</v>
      </c>
      <c r="Q867" s="4">
        <v>125</v>
      </c>
      <c r="R867" s="4">
        <v>0</v>
      </c>
      <c r="S867" s="4">
        <v>0</v>
      </c>
      <c r="T867" s="23">
        <v>1.74</v>
      </c>
      <c r="U867" s="23">
        <v>1.7490000000000001</v>
      </c>
      <c r="V867" s="5" t="s">
        <v>398</v>
      </c>
      <c r="W867" s="4">
        <v>3625</v>
      </c>
      <c r="X867" s="4">
        <v>87000</v>
      </c>
      <c r="Y867" s="14">
        <v>44110</v>
      </c>
      <c r="Z867" s="14">
        <v>48684</v>
      </c>
      <c r="AA867" s="2"/>
      <c r="AB867" s="69" t="s">
        <v>3892</v>
      </c>
      <c r="AC867" s="5" t="s">
        <v>7</v>
      </c>
      <c r="AD867" s="84" t="s">
        <v>1921</v>
      </c>
      <c r="AE867" s="14">
        <v>45945</v>
      </c>
      <c r="AF867" s="23">
        <v>100</v>
      </c>
      <c r="AG867" s="14">
        <v>45946</v>
      </c>
      <c r="AH867" s="5" t="s">
        <v>2</v>
      </c>
      <c r="AI867" s="5" t="s">
        <v>3271</v>
      </c>
      <c r="AJ867" s="5" t="s">
        <v>824</v>
      </c>
      <c r="AK867" s="21" t="s">
        <v>2</v>
      </c>
      <c r="AL867" s="72" t="s">
        <v>2745</v>
      </c>
      <c r="AM867" s="54" t="s">
        <v>4179</v>
      </c>
      <c r="AN867" s="34" t="s">
        <v>819</v>
      </c>
    </row>
    <row r="868" spans="2:40" x14ac:dyDescent="0.3">
      <c r="B868" s="18" t="s">
        <v>1803</v>
      </c>
      <c r="C868" s="47" t="s">
        <v>2653</v>
      </c>
      <c r="D868" s="15" t="s">
        <v>2440</v>
      </c>
      <c r="E868" s="68" t="s">
        <v>2</v>
      </c>
      <c r="F868" s="55" t="s">
        <v>2</v>
      </c>
      <c r="G868" s="40" t="s">
        <v>3894</v>
      </c>
      <c r="H868" s="71" t="s">
        <v>2745</v>
      </c>
      <c r="I868" s="67" t="s">
        <v>1164</v>
      </c>
      <c r="J868" s="73" t="s">
        <v>270</v>
      </c>
      <c r="K868" s="4">
        <v>3749648</v>
      </c>
      <c r="L868" s="41">
        <v>89.728999999999999</v>
      </c>
      <c r="M868" s="4">
        <v>3364821</v>
      </c>
      <c r="N868" s="4">
        <v>3750000</v>
      </c>
      <c r="O868" s="4">
        <v>3749779</v>
      </c>
      <c r="P868" s="4">
        <v>0</v>
      </c>
      <c r="Q868" s="4">
        <v>70</v>
      </c>
      <c r="R868" s="4">
        <v>0</v>
      </c>
      <c r="S868" s="4">
        <v>0</v>
      </c>
      <c r="T868" s="23">
        <v>0.83</v>
      </c>
      <c r="U868" s="23">
        <v>0.83299999999999996</v>
      </c>
      <c r="V868" s="5" t="s">
        <v>398</v>
      </c>
      <c r="W868" s="4">
        <v>1383</v>
      </c>
      <c r="X868" s="4">
        <v>31125</v>
      </c>
      <c r="Y868" s="14">
        <v>44244</v>
      </c>
      <c r="Z868" s="14">
        <v>46980</v>
      </c>
      <c r="AA868" s="2"/>
      <c r="AB868" s="69" t="s">
        <v>3892</v>
      </c>
      <c r="AC868" s="5" t="s">
        <v>4178</v>
      </c>
      <c r="AD868" s="84" t="s">
        <v>1921</v>
      </c>
      <c r="AE868" s="14">
        <v>45611</v>
      </c>
      <c r="AF868" s="23">
        <v>100</v>
      </c>
      <c r="AG868" s="14">
        <v>46127</v>
      </c>
      <c r="AH868" s="5" t="s">
        <v>2</v>
      </c>
      <c r="AI868" s="5" t="s">
        <v>3271</v>
      </c>
      <c r="AJ868" s="5" t="s">
        <v>4417</v>
      </c>
      <c r="AK868" s="21" t="s">
        <v>2</v>
      </c>
      <c r="AL868" s="72" t="s">
        <v>2745</v>
      </c>
      <c r="AM868" s="54" t="s">
        <v>4179</v>
      </c>
      <c r="AN868" s="34" t="s">
        <v>1625</v>
      </c>
    </row>
    <row r="869" spans="2:40" x14ac:dyDescent="0.3">
      <c r="B869" s="18" t="s">
        <v>2922</v>
      </c>
      <c r="C869" s="47" t="s">
        <v>4059</v>
      </c>
      <c r="D869" s="15" t="s">
        <v>3786</v>
      </c>
      <c r="E869" s="68" t="s">
        <v>2</v>
      </c>
      <c r="F869" s="55" t="s">
        <v>2</v>
      </c>
      <c r="G869" s="40" t="s">
        <v>1921</v>
      </c>
      <c r="H869" s="71" t="s">
        <v>2745</v>
      </c>
      <c r="I869" s="67" t="s">
        <v>1164</v>
      </c>
      <c r="J869" s="73" t="s">
        <v>270</v>
      </c>
      <c r="K869" s="4">
        <v>7998211</v>
      </c>
      <c r="L869" s="41">
        <v>95.225999999999999</v>
      </c>
      <c r="M869" s="4">
        <v>7618109</v>
      </c>
      <c r="N869" s="4">
        <v>8000000</v>
      </c>
      <c r="O869" s="4">
        <v>7999421</v>
      </c>
      <c r="P869" s="4">
        <v>0</v>
      </c>
      <c r="Q869" s="4">
        <v>267</v>
      </c>
      <c r="R869" s="4">
        <v>0</v>
      </c>
      <c r="S869" s="4">
        <v>0</v>
      </c>
      <c r="T869" s="23">
        <v>3.34</v>
      </c>
      <c r="U869" s="23">
        <v>3.367</v>
      </c>
      <c r="V869" s="5" t="s">
        <v>398</v>
      </c>
      <c r="W869" s="4">
        <v>11876</v>
      </c>
      <c r="X869" s="4">
        <v>267200</v>
      </c>
      <c r="Y869" s="14">
        <v>43123</v>
      </c>
      <c r="Z869" s="14">
        <v>48044</v>
      </c>
      <c r="AA869" s="2"/>
      <c r="AB869" s="69" t="s">
        <v>3892</v>
      </c>
      <c r="AC869" s="5" t="s">
        <v>7</v>
      </c>
      <c r="AD869" s="84" t="s">
        <v>1921</v>
      </c>
      <c r="AE869" s="10"/>
      <c r="AF869" s="23"/>
      <c r="AG869" s="14">
        <v>45672</v>
      </c>
      <c r="AH869" s="5" t="s">
        <v>2</v>
      </c>
      <c r="AI869" s="5" t="s">
        <v>3271</v>
      </c>
      <c r="AJ869" s="5" t="s">
        <v>824</v>
      </c>
      <c r="AK869" s="21" t="s">
        <v>2</v>
      </c>
      <c r="AL869" s="72" t="s">
        <v>2745</v>
      </c>
      <c r="AM869" s="54" t="s">
        <v>4179</v>
      </c>
      <c r="AN869" s="34" t="s">
        <v>1625</v>
      </c>
    </row>
    <row r="870" spans="2:40" x14ac:dyDescent="0.3">
      <c r="B870" s="18" t="s">
        <v>4060</v>
      </c>
      <c r="C870" s="47" t="s">
        <v>4061</v>
      </c>
      <c r="D870" s="15" t="s">
        <v>3786</v>
      </c>
      <c r="E870" s="68" t="s">
        <v>2</v>
      </c>
      <c r="F870" s="55" t="s">
        <v>2</v>
      </c>
      <c r="G870" s="40" t="s">
        <v>1921</v>
      </c>
      <c r="H870" s="71" t="s">
        <v>2745</v>
      </c>
      <c r="I870" s="67" t="s">
        <v>287</v>
      </c>
      <c r="J870" s="73" t="s">
        <v>270</v>
      </c>
      <c r="K870" s="4">
        <v>6467407</v>
      </c>
      <c r="L870" s="41">
        <v>95.313999999999993</v>
      </c>
      <c r="M870" s="4">
        <v>6164915</v>
      </c>
      <c r="N870" s="4">
        <v>6468000</v>
      </c>
      <c r="O870" s="4">
        <v>6467801</v>
      </c>
      <c r="P870" s="4">
        <v>0</v>
      </c>
      <c r="Q870" s="4">
        <v>90</v>
      </c>
      <c r="R870" s="4">
        <v>0</v>
      </c>
      <c r="S870" s="4">
        <v>0</v>
      </c>
      <c r="T870" s="23">
        <v>3.49</v>
      </c>
      <c r="U870" s="23">
        <v>3.5169999999999999</v>
      </c>
      <c r="V870" s="5" t="s">
        <v>398</v>
      </c>
      <c r="W870" s="4">
        <v>10033</v>
      </c>
      <c r="X870" s="4">
        <v>225733</v>
      </c>
      <c r="Y870" s="14">
        <v>43123</v>
      </c>
      <c r="Z870" s="14">
        <v>48044</v>
      </c>
      <c r="AA870" s="2"/>
      <c r="AB870" s="69" t="s">
        <v>3892</v>
      </c>
      <c r="AC870" s="5" t="s">
        <v>7</v>
      </c>
      <c r="AD870" s="84" t="s">
        <v>1921</v>
      </c>
      <c r="AE870" s="10"/>
      <c r="AF870" s="23"/>
      <c r="AG870" s="14">
        <v>45672</v>
      </c>
      <c r="AH870" s="5" t="s">
        <v>2</v>
      </c>
      <c r="AI870" s="5" t="s">
        <v>3271</v>
      </c>
      <c r="AJ870" s="5" t="s">
        <v>824</v>
      </c>
      <c r="AK870" s="21" t="s">
        <v>2</v>
      </c>
      <c r="AL870" s="72" t="s">
        <v>2745</v>
      </c>
      <c r="AM870" s="54" t="s">
        <v>4179</v>
      </c>
      <c r="AN870" s="34" t="s">
        <v>819</v>
      </c>
    </row>
    <row r="871" spans="2:40" x14ac:dyDescent="0.3">
      <c r="B871" s="18" t="s">
        <v>665</v>
      </c>
      <c r="C871" s="47" t="s">
        <v>3573</v>
      </c>
      <c r="D871" s="15" t="s">
        <v>3786</v>
      </c>
      <c r="E871" s="68" t="s">
        <v>2</v>
      </c>
      <c r="F871" s="55" t="s">
        <v>2</v>
      </c>
      <c r="G871" s="40" t="s">
        <v>3894</v>
      </c>
      <c r="H871" s="71" t="s">
        <v>2745</v>
      </c>
      <c r="I871" s="67" t="s">
        <v>1164</v>
      </c>
      <c r="J871" s="73" t="s">
        <v>270</v>
      </c>
      <c r="K871" s="4">
        <v>5022939</v>
      </c>
      <c r="L871" s="41">
        <v>88.375</v>
      </c>
      <c r="M871" s="4">
        <v>4440839</v>
      </c>
      <c r="N871" s="4">
        <v>5025000</v>
      </c>
      <c r="O871" s="4">
        <v>5023351</v>
      </c>
      <c r="P871" s="4">
        <v>0</v>
      </c>
      <c r="Q871" s="4">
        <v>128</v>
      </c>
      <c r="R871" s="4">
        <v>0</v>
      </c>
      <c r="S871" s="4">
        <v>0</v>
      </c>
      <c r="T871" s="23">
        <v>1.61</v>
      </c>
      <c r="U871" s="23">
        <v>1.621</v>
      </c>
      <c r="V871" s="5" t="s">
        <v>398</v>
      </c>
      <c r="W871" s="4">
        <v>3596</v>
      </c>
      <c r="X871" s="4">
        <v>80903</v>
      </c>
      <c r="Y871" s="14">
        <v>44293</v>
      </c>
      <c r="Z871" s="14">
        <v>48869</v>
      </c>
      <c r="AA871" s="2"/>
      <c r="AB871" s="69" t="s">
        <v>3892</v>
      </c>
      <c r="AC871" s="5" t="s">
        <v>7</v>
      </c>
      <c r="AD871" s="84" t="s">
        <v>1921</v>
      </c>
      <c r="AE871" s="14">
        <v>46127</v>
      </c>
      <c r="AF871" s="23">
        <v>100</v>
      </c>
      <c r="AG871" s="14">
        <v>47314</v>
      </c>
      <c r="AH871" s="5" t="s">
        <v>2</v>
      </c>
      <c r="AI871" s="5" t="s">
        <v>3271</v>
      </c>
      <c r="AJ871" s="5" t="s">
        <v>824</v>
      </c>
      <c r="AK871" s="21" t="s">
        <v>2</v>
      </c>
      <c r="AL871" s="72" t="s">
        <v>2745</v>
      </c>
      <c r="AM871" s="54" t="s">
        <v>4179</v>
      </c>
      <c r="AN871" s="34" t="s">
        <v>1625</v>
      </c>
    </row>
    <row r="872" spans="2:40" x14ac:dyDescent="0.3">
      <c r="B872" s="18" t="s">
        <v>2137</v>
      </c>
      <c r="C872" s="47" t="s">
        <v>3574</v>
      </c>
      <c r="D872" s="15" t="s">
        <v>3786</v>
      </c>
      <c r="E872" s="68" t="s">
        <v>2</v>
      </c>
      <c r="F872" s="55" t="s">
        <v>2</v>
      </c>
      <c r="G872" s="40" t="s">
        <v>3894</v>
      </c>
      <c r="H872" s="71" t="s">
        <v>2745</v>
      </c>
      <c r="I872" s="67" t="s">
        <v>287</v>
      </c>
      <c r="J872" s="73" t="s">
        <v>270</v>
      </c>
      <c r="K872" s="4">
        <v>4598610</v>
      </c>
      <c r="L872" s="41">
        <v>87.754000000000005</v>
      </c>
      <c r="M872" s="4">
        <v>4036680</v>
      </c>
      <c r="N872" s="4">
        <v>4600000</v>
      </c>
      <c r="O872" s="4">
        <v>4598876</v>
      </c>
      <c r="P872" s="4">
        <v>0</v>
      </c>
      <c r="Q872" s="4">
        <v>76</v>
      </c>
      <c r="R872" s="4">
        <v>0</v>
      </c>
      <c r="S872" s="4">
        <v>0</v>
      </c>
      <c r="T872" s="23">
        <v>1.91</v>
      </c>
      <c r="U872" s="23">
        <v>1.9219999999999999</v>
      </c>
      <c r="V872" s="5" t="s">
        <v>398</v>
      </c>
      <c r="W872" s="4">
        <v>3905</v>
      </c>
      <c r="X872" s="4">
        <v>87860</v>
      </c>
      <c r="Y872" s="14">
        <v>44293</v>
      </c>
      <c r="Z872" s="14">
        <v>48869</v>
      </c>
      <c r="AA872" s="2"/>
      <c r="AB872" s="69" t="s">
        <v>3892</v>
      </c>
      <c r="AC872" s="5" t="s">
        <v>7</v>
      </c>
      <c r="AD872" s="84" t="s">
        <v>1921</v>
      </c>
      <c r="AE872" s="14">
        <v>46127</v>
      </c>
      <c r="AF872" s="23">
        <v>100</v>
      </c>
      <c r="AG872" s="14">
        <v>47406</v>
      </c>
      <c r="AH872" s="5" t="s">
        <v>2</v>
      </c>
      <c r="AI872" s="5" t="s">
        <v>3271</v>
      </c>
      <c r="AJ872" s="5" t="s">
        <v>824</v>
      </c>
      <c r="AK872" s="21" t="s">
        <v>2</v>
      </c>
      <c r="AL872" s="72" t="s">
        <v>2745</v>
      </c>
      <c r="AM872" s="54" t="s">
        <v>4179</v>
      </c>
      <c r="AN872" s="34" t="s">
        <v>819</v>
      </c>
    </row>
    <row r="873" spans="2:40" x14ac:dyDescent="0.3">
      <c r="B873" s="18" t="s">
        <v>4062</v>
      </c>
      <c r="C873" s="47" t="s">
        <v>2923</v>
      </c>
      <c r="D873" s="15" t="s">
        <v>1528</v>
      </c>
      <c r="E873" s="68" t="s">
        <v>2</v>
      </c>
      <c r="F873" s="55" t="s">
        <v>2</v>
      </c>
      <c r="G873" s="40" t="s">
        <v>3894</v>
      </c>
      <c r="H873" s="71" t="s">
        <v>2745</v>
      </c>
      <c r="I873" s="67" t="s">
        <v>287</v>
      </c>
      <c r="J873" s="73" t="s">
        <v>270</v>
      </c>
      <c r="K873" s="4">
        <v>8743578</v>
      </c>
      <c r="L873" s="41">
        <v>86.734999999999999</v>
      </c>
      <c r="M873" s="4">
        <v>7587432</v>
      </c>
      <c r="N873" s="4">
        <v>8747787</v>
      </c>
      <c r="O873" s="4">
        <v>8744113</v>
      </c>
      <c r="P873" s="4">
        <v>0</v>
      </c>
      <c r="Q873" s="4">
        <v>535</v>
      </c>
      <c r="R873" s="4">
        <v>0</v>
      </c>
      <c r="S873" s="4">
        <v>0</v>
      </c>
      <c r="T873" s="23">
        <v>2.87</v>
      </c>
      <c r="U873" s="23">
        <v>2.9</v>
      </c>
      <c r="V873" s="5" t="s">
        <v>398</v>
      </c>
      <c r="W873" s="4">
        <v>7671</v>
      </c>
      <c r="X873" s="4">
        <v>216889</v>
      </c>
      <c r="Y873" s="14">
        <v>44593</v>
      </c>
      <c r="Z873" s="14">
        <v>55569</v>
      </c>
      <c r="AA873" s="2"/>
      <c r="AB873" s="69" t="s">
        <v>3892</v>
      </c>
      <c r="AC873" s="5" t="s">
        <v>7</v>
      </c>
      <c r="AD873" s="84" t="s">
        <v>3564</v>
      </c>
      <c r="AE873" s="14">
        <v>45524</v>
      </c>
      <c r="AF873" s="23">
        <v>100</v>
      </c>
      <c r="AG873" s="14">
        <v>47138</v>
      </c>
      <c r="AH873" s="5" t="s">
        <v>2</v>
      </c>
      <c r="AI873" s="5" t="s">
        <v>3575</v>
      </c>
      <c r="AJ873" s="5" t="s">
        <v>824</v>
      </c>
      <c r="AK873" s="21" t="s">
        <v>2</v>
      </c>
      <c r="AL873" s="72" t="s">
        <v>3894</v>
      </c>
      <c r="AM873" s="54" t="s">
        <v>4179</v>
      </c>
      <c r="AN873" s="34" t="s">
        <v>819</v>
      </c>
    </row>
    <row r="874" spans="2:40" x14ac:dyDescent="0.3">
      <c r="B874" s="18" t="s">
        <v>666</v>
      </c>
      <c r="C874" s="47" t="s">
        <v>169</v>
      </c>
      <c r="D874" s="15" t="s">
        <v>2654</v>
      </c>
      <c r="E874" s="68" t="s">
        <v>2</v>
      </c>
      <c r="F874" s="55" t="s">
        <v>2</v>
      </c>
      <c r="G874" s="40" t="s">
        <v>3894</v>
      </c>
      <c r="H874" s="71" t="s">
        <v>2745</v>
      </c>
      <c r="I874" s="67" t="s">
        <v>8</v>
      </c>
      <c r="J874" s="73" t="s">
        <v>270</v>
      </c>
      <c r="K874" s="4">
        <v>3809613</v>
      </c>
      <c r="L874" s="41">
        <v>90.218999999999994</v>
      </c>
      <c r="M874" s="4">
        <v>3437353</v>
      </c>
      <c r="N874" s="4">
        <v>3810000</v>
      </c>
      <c r="O874" s="4">
        <v>3809715</v>
      </c>
      <c r="P874" s="4">
        <v>0</v>
      </c>
      <c r="Q874" s="4">
        <v>89</v>
      </c>
      <c r="R874" s="4">
        <v>0</v>
      </c>
      <c r="S874" s="4">
        <v>0</v>
      </c>
      <c r="T874" s="23">
        <v>1.25</v>
      </c>
      <c r="U874" s="23">
        <v>1.256</v>
      </c>
      <c r="V874" s="5" t="s">
        <v>398</v>
      </c>
      <c r="W874" s="4">
        <v>1984</v>
      </c>
      <c r="X874" s="4">
        <v>47625</v>
      </c>
      <c r="Y874" s="14">
        <v>44482</v>
      </c>
      <c r="Z874" s="14">
        <v>46678</v>
      </c>
      <c r="AA874" s="2"/>
      <c r="AB874" s="69" t="s">
        <v>3892</v>
      </c>
      <c r="AC874" s="5" t="s">
        <v>7</v>
      </c>
      <c r="AD874" s="84" t="s">
        <v>1921</v>
      </c>
      <c r="AE874" s="14">
        <v>45885</v>
      </c>
      <c r="AF874" s="23">
        <v>100</v>
      </c>
      <c r="AG874" s="14">
        <v>46128</v>
      </c>
      <c r="AH874" s="5" t="s">
        <v>2</v>
      </c>
      <c r="AI874" s="5" t="s">
        <v>409</v>
      </c>
      <c r="AJ874" s="5" t="s">
        <v>409</v>
      </c>
      <c r="AK874" s="21" t="s">
        <v>2</v>
      </c>
      <c r="AL874" s="72" t="s">
        <v>2745</v>
      </c>
      <c r="AM874" s="54" t="s">
        <v>4179</v>
      </c>
      <c r="AN874" s="34" t="s">
        <v>1923</v>
      </c>
    </row>
    <row r="875" spans="2:40" x14ac:dyDescent="0.3">
      <c r="B875" s="18" t="s">
        <v>1804</v>
      </c>
      <c r="C875" s="47" t="s">
        <v>1529</v>
      </c>
      <c r="D875" s="15" t="s">
        <v>4063</v>
      </c>
      <c r="E875" s="68" t="s">
        <v>2</v>
      </c>
      <c r="F875" s="55" t="s">
        <v>2</v>
      </c>
      <c r="G875" s="40" t="s">
        <v>3894</v>
      </c>
      <c r="H875" s="71" t="s">
        <v>2745</v>
      </c>
      <c r="I875" s="67" t="s">
        <v>3408</v>
      </c>
      <c r="J875" s="73" t="s">
        <v>270</v>
      </c>
      <c r="K875" s="4">
        <v>4018761</v>
      </c>
      <c r="L875" s="41">
        <v>97.001000000000005</v>
      </c>
      <c r="M875" s="4">
        <v>3861608</v>
      </c>
      <c r="N875" s="4">
        <v>3981000</v>
      </c>
      <c r="O875" s="4">
        <v>3997064</v>
      </c>
      <c r="P875" s="4">
        <v>0</v>
      </c>
      <c r="Q875" s="4">
        <v>-9512</v>
      </c>
      <c r="R875" s="4">
        <v>0</v>
      </c>
      <c r="S875" s="4">
        <v>0</v>
      </c>
      <c r="T875" s="23">
        <v>2.1800000000000002</v>
      </c>
      <c r="U875" s="23">
        <v>1.913</v>
      </c>
      <c r="V875" s="5" t="s">
        <v>398</v>
      </c>
      <c r="W875" s="4">
        <v>3616</v>
      </c>
      <c r="X875" s="4">
        <v>86786</v>
      </c>
      <c r="Y875" s="14">
        <v>44168</v>
      </c>
      <c r="Z875" s="14">
        <v>45793</v>
      </c>
      <c r="AA875" s="2"/>
      <c r="AB875" s="69" t="s">
        <v>3892</v>
      </c>
      <c r="AC875" s="5" t="s">
        <v>7</v>
      </c>
      <c r="AD875" s="84" t="s">
        <v>1921</v>
      </c>
      <c r="AE875" s="14">
        <v>45185</v>
      </c>
      <c r="AF875" s="23">
        <v>100</v>
      </c>
      <c r="AG875" s="14">
        <v>45520</v>
      </c>
      <c r="AH875" s="5" t="s">
        <v>2</v>
      </c>
      <c r="AI875" s="5" t="s">
        <v>667</v>
      </c>
      <c r="AJ875" s="5" t="s">
        <v>667</v>
      </c>
      <c r="AK875" s="21" t="s">
        <v>2</v>
      </c>
      <c r="AL875" s="72" t="s">
        <v>2745</v>
      </c>
      <c r="AM875" s="54" t="s">
        <v>4179</v>
      </c>
      <c r="AN875" s="34" t="s">
        <v>2278</v>
      </c>
    </row>
    <row r="876" spans="2:40" x14ac:dyDescent="0.3">
      <c r="B876" s="18" t="s">
        <v>2924</v>
      </c>
      <c r="C876" s="47" t="s">
        <v>170</v>
      </c>
      <c r="D876" s="15" t="s">
        <v>4063</v>
      </c>
      <c r="E876" s="68" t="s">
        <v>2</v>
      </c>
      <c r="F876" s="55" t="s">
        <v>2</v>
      </c>
      <c r="G876" s="40" t="s">
        <v>3894</v>
      </c>
      <c r="H876" s="71" t="s">
        <v>2745</v>
      </c>
      <c r="I876" s="67" t="s">
        <v>1164</v>
      </c>
      <c r="J876" s="73" t="s">
        <v>270</v>
      </c>
      <c r="K876" s="4">
        <v>2749022</v>
      </c>
      <c r="L876" s="41">
        <v>91.466999999999999</v>
      </c>
      <c r="M876" s="4">
        <v>2515337</v>
      </c>
      <c r="N876" s="4">
        <v>2750000</v>
      </c>
      <c r="O876" s="4">
        <v>2749437</v>
      </c>
      <c r="P876" s="4">
        <v>0</v>
      </c>
      <c r="Q876" s="4">
        <v>193</v>
      </c>
      <c r="R876" s="4">
        <v>0</v>
      </c>
      <c r="S876" s="4">
        <v>0</v>
      </c>
      <c r="T876" s="23">
        <v>1.04</v>
      </c>
      <c r="U876" s="23">
        <v>1.05</v>
      </c>
      <c r="V876" s="5" t="s">
        <v>398</v>
      </c>
      <c r="W876" s="4">
        <v>1192</v>
      </c>
      <c r="X876" s="4">
        <v>28600</v>
      </c>
      <c r="Y876" s="14">
        <v>44208</v>
      </c>
      <c r="Z876" s="14">
        <v>46524</v>
      </c>
      <c r="AA876" s="2"/>
      <c r="AB876" s="69" t="s">
        <v>3892</v>
      </c>
      <c r="AC876" s="5" t="s">
        <v>7</v>
      </c>
      <c r="AD876" s="84" t="s">
        <v>1921</v>
      </c>
      <c r="AE876" s="14">
        <v>45581</v>
      </c>
      <c r="AF876" s="23">
        <v>100</v>
      </c>
      <c r="AG876" s="14">
        <v>45916</v>
      </c>
      <c r="AH876" s="5" t="s">
        <v>2</v>
      </c>
      <c r="AI876" s="5" t="s">
        <v>667</v>
      </c>
      <c r="AJ876" s="5" t="s">
        <v>667</v>
      </c>
      <c r="AK876" s="21" t="s">
        <v>2</v>
      </c>
      <c r="AL876" s="72" t="s">
        <v>2745</v>
      </c>
      <c r="AM876" s="54" t="s">
        <v>4179</v>
      </c>
      <c r="AN876" s="34" t="s">
        <v>1625</v>
      </c>
    </row>
    <row r="877" spans="2:40" x14ac:dyDescent="0.3">
      <c r="B877" s="18" t="s">
        <v>4064</v>
      </c>
      <c r="C877" s="47" t="s">
        <v>4065</v>
      </c>
      <c r="D877" s="15" t="s">
        <v>2655</v>
      </c>
      <c r="E877" s="68" t="s">
        <v>2</v>
      </c>
      <c r="F877" s="55" t="s">
        <v>2</v>
      </c>
      <c r="G877" s="40" t="s">
        <v>3894</v>
      </c>
      <c r="H877" s="71" t="s">
        <v>2745</v>
      </c>
      <c r="I877" s="67" t="s">
        <v>1164</v>
      </c>
      <c r="J877" s="73" t="s">
        <v>270</v>
      </c>
      <c r="K877" s="4">
        <v>2499719</v>
      </c>
      <c r="L877" s="41">
        <v>85.26</v>
      </c>
      <c r="M877" s="4">
        <v>2131508</v>
      </c>
      <c r="N877" s="4">
        <v>2500000</v>
      </c>
      <c r="O877" s="4">
        <v>2499758</v>
      </c>
      <c r="P877" s="4">
        <v>0</v>
      </c>
      <c r="Q877" s="4">
        <v>24</v>
      </c>
      <c r="R877" s="4">
        <v>0</v>
      </c>
      <c r="S877" s="4">
        <v>0</v>
      </c>
      <c r="T877" s="23">
        <v>1.49</v>
      </c>
      <c r="U877" s="23">
        <v>1.496</v>
      </c>
      <c r="V877" s="5" t="s">
        <v>398</v>
      </c>
      <c r="W877" s="4">
        <v>2069</v>
      </c>
      <c r="X877" s="4">
        <v>37250</v>
      </c>
      <c r="Y877" s="14">
        <v>44453</v>
      </c>
      <c r="Z877" s="14">
        <v>49107</v>
      </c>
      <c r="AA877" s="2"/>
      <c r="AB877" s="69" t="s">
        <v>3892</v>
      </c>
      <c r="AC877" s="5" t="s">
        <v>7</v>
      </c>
      <c r="AD877" s="84" t="s">
        <v>1921</v>
      </c>
      <c r="AE877" s="14">
        <v>46276</v>
      </c>
      <c r="AF877" s="23">
        <v>100</v>
      </c>
      <c r="AG877" s="14">
        <v>47614</v>
      </c>
      <c r="AH877" s="5" t="s">
        <v>2</v>
      </c>
      <c r="AI877" s="5" t="s">
        <v>1315</v>
      </c>
      <c r="AJ877" s="5" t="s">
        <v>824</v>
      </c>
      <c r="AK877" s="21" t="s">
        <v>2</v>
      </c>
      <c r="AL877" s="72" t="s">
        <v>2745</v>
      </c>
      <c r="AM877" s="54" t="s">
        <v>4179</v>
      </c>
      <c r="AN877" s="34" t="s">
        <v>1625</v>
      </c>
    </row>
    <row r="878" spans="2:40" x14ac:dyDescent="0.3">
      <c r="B878" s="18" t="s">
        <v>668</v>
      </c>
      <c r="C878" s="47" t="s">
        <v>3788</v>
      </c>
      <c r="D878" s="15" t="s">
        <v>2655</v>
      </c>
      <c r="E878" s="68" t="s">
        <v>2</v>
      </c>
      <c r="F878" s="55" t="s">
        <v>2</v>
      </c>
      <c r="G878" s="40" t="s">
        <v>3894</v>
      </c>
      <c r="H878" s="71" t="s">
        <v>2745</v>
      </c>
      <c r="I878" s="67" t="s">
        <v>287</v>
      </c>
      <c r="J878" s="73" t="s">
        <v>270</v>
      </c>
      <c r="K878" s="4">
        <v>3999778</v>
      </c>
      <c r="L878" s="41">
        <v>83.944000000000003</v>
      </c>
      <c r="M878" s="4">
        <v>3357760</v>
      </c>
      <c r="N878" s="4">
        <v>4000000</v>
      </c>
      <c r="O878" s="4">
        <v>3999806</v>
      </c>
      <c r="P878" s="4">
        <v>0</v>
      </c>
      <c r="Q878" s="4">
        <v>19</v>
      </c>
      <c r="R878" s="4">
        <v>0</v>
      </c>
      <c r="S878" s="4">
        <v>0</v>
      </c>
      <c r="T878" s="23">
        <v>1.67</v>
      </c>
      <c r="U878" s="23">
        <v>1.677</v>
      </c>
      <c r="V878" s="5" t="s">
        <v>398</v>
      </c>
      <c r="W878" s="4">
        <v>3711</v>
      </c>
      <c r="X878" s="4">
        <v>66800</v>
      </c>
      <c r="Y878" s="14">
        <v>44453</v>
      </c>
      <c r="Z878" s="14">
        <v>49107</v>
      </c>
      <c r="AA878" s="2"/>
      <c r="AB878" s="69" t="s">
        <v>3892</v>
      </c>
      <c r="AC878" s="5" t="s">
        <v>7</v>
      </c>
      <c r="AD878" s="84" t="s">
        <v>1921</v>
      </c>
      <c r="AE878" s="14">
        <v>46276</v>
      </c>
      <c r="AF878" s="23">
        <v>100</v>
      </c>
      <c r="AG878" s="14">
        <v>47706</v>
      </c>
      <c r="AH878" s="5" t="s">
        <v>2</v>
      </c>
      <c r="AI878" s="5" t="s">
        <v>1315</v>
      </c>
      <c r="AJ878" s="5" t="s">
        <v>824</v>
      </c>
      <c r="AK878" s="21" t="s">
        <v>2</v>
      </c>
      <c r="AL878" s="72" t="s">
        <v>2745</v>
      </c>
      <c r="AM878" s="54" t="s">
        <v>4179</v>
      </c>
      <c r="AN878" s="34" t="s">
        <v>819</v>
      </c>
    </row>
    <row r="879" spans="2:40" x14ac:dyDescent="0.3">
      <c r="B879" s="18" t="s">
        <v>1805</v>
      </c>
      <c r="C879" s="47" t="s">
        <v>2138</v>
      </c>
      <c r="D879" s="15" t="s">
        <v>2654</v>
      </c>
      <c r="E879" s="68" t="s">
        <v>2</v>
      </c>
      <c r="F879" s="55" t="s">
        <v>2</v>
      </c>
      <c r="G879" s="40" t="s">
        <v>3894</v>
      </c>
      <c r="H879" s="71" t="s">
        <v>2745</v>
      </c>
      <c r="I879" s="67" t="s">
        <v>8</v>
      </c>
      <c r="J879" s="73" t="s">
        <v>270</v>
      </c>
      <c r="K879" s="4">
        <v>6997878</v>
      </c>
      <c r="L879" s="41">
        <v>97.091999999999999</v>
      </c>
      <c r="M879" s="4">
        <v>6796455</v>
      </c>
      <c r="N879" s="4">
        <v>7000000</v>
      </c>
      <c r="O879" s="4">
        <v>6998086</v>
      </c>
      <c r="P879" s="4">
        <v>0</v>
      </c>
      <c r="Q879" s="4">
        <v>209</v>
      </c>
      <c r="R879" s="4">
        <v>0</v>
      </c>
      <c r="S879" s="4">
        <v>0</v>
      </c>
      <c r="T879" s="23">
        <v>4.42</v>
      </c>
      <c r="U879" s="23">
        <v>4.4690000000000003</v>
      </c>
      <c r="V879" s="5" t="s">
        <v>398</v>
      </c>
      <c r="W879" s="4">
        <v>12892</v>
      </c>
      <c r="X879" s="4">
        <v>131495</v>
      </c>
      <c r="Y879" s="14">
        <v>44748</v>
      </c>
      <c r="Z879" s="14">
        <v>46799</v>
      </c>
      <c r="AA879" s="2"/>
      <c r="AB879" s="69" t="s">
        <v>3892</v>
      </c>
      <c r="AC879" s="5" t="s">
        <v>7</v>
      </c>
      <c r="AD879" s="84" t="s">
        <v>1921</v>
      </c>
      <c r="AE879" s="14">
        <v>46097</v>
      </c>
      <c r="AF879" s="23">
        <v>100</v>
      </c>
      <c r="AG879" s="14">
        <v>46342</v>
      </c>
      <c r="AH879" s="5" t="s">
        <v>2</v>
      </c>
      <c r="AI879" s="5" t="s">
        <v>409</v>
      </c>
      <c r="AJ879" s="5" t="s">
        <v>409</v>
      </c>
      <c r="AK879" s="21" t="s">
        <v>2</v>
      </c>
      <c r="AL879" s="72" t="s">
        <v>825</v>
      </c>
      <c r="AM879" s="54" t="s">
        <v>4179</v>
      </c>
      <c r="AN879" s="34" t="s">
        <v>1923</v>
      </c>
    </row>
    <row r="880" spans="2:40" x14ac:dyDescent="0.3">
      <c r="B880" s="18" t="s">
        <v>3273</v>
      </c>
      <c r="C880" s="47" t="s">
        <v>171</v>
      </c>
      <c r="D880" s="15" t="s">
        <v>2654</v>
      </c>
      <c r="E880" s="68" t="s">
        <v>2</v>
      </c>
      <c r="F880" s="55" t="s">
        <v>2</v>
      </c>
      <c r="G880" s="40" t="s">
        <v>3894</v>
      </c>
      <c r="H880" s="71" t="s">
        <v>2745</v>
      </c>
      <c r="I880" s="67" t="s">
        <v>3660</v>
      </c>
      <c r="J880" s="73" t="s">
        <v>270</v>
      </c>
      <c r="K880" s="4">
        <v>2249750</v>
      </c>
      <c r="L880" s="41">
        <v>96.704999999999998</v>
      </c>
      <c r="M880" s="4">
        <v>2175856</v>
      </c>
      <c r="N880" s="4">
        <v>2250000</v>
      </c>
      <c r="O880" s="4">
        <v>2249771</v>
      </c>
      <c r="P880" s="4">
        <v>0</v>
      </c>
      <c r="Q880" s="4">
        <v>21</v>
      </c>
      <c r="R880" s="4">
        <v>0</v>
      </c>
      <c r="S880" s="4">
        <v>0</v>
      </c>
      <c r="T880" s="23">
        <v>4.72</v>
      </c>
      <c r="U880" s="23">
        <v>4.7690000000000001</v>
      </c>
      <c r="V880" s="5" t="s">
        <v>398</v>
      </c>
      <c r="W880" s="4">
        <v>4425</v>
      </c>
      <c r="X880" s="4">
        <v>45135</v>
      </c>
      <c r="Y880" s="14">
        <v>44748</v>
      </c>
      <c r="Z880" s="14">
        <v>46828</v>
      </c>
      <c r="AA880" s="2"/>
      <c r="AB880" s="69" t="s">
        <v>3892</v>
      </c>
      <c r="AC880" s="5" t="s">
        <v>7</v>
      </c>
      <c r="AD880" s="84" t="s">
        <v>1921</v>
      </c>
      <c r="AE880" s="9">
        <v>46097</v>
      </c>
      <c r="AF880" s="23">
        <v>100</v>
      </c>
      <c r="AG880" s="14">
        <v>46403</v>
      </c>
      <c r="AH880" s="5" t="s">
        <v>2</v>
      </c>
      <c r="AI880" s="5" t="s">
        <v>409</v>
      </c>
      <c r="AJ880" s="5" t="s">
        <v>409</v>
      </c>
      <c r="AK880" s="21" t="s">
        <v>2</v>
      </c>
      <c r="AL880" s="72" t="s">
        <v>825</v>
      </c>
      <c r="AM880" s="54" t="s">
        <v>4179</v>
      </c>
      <c r="AN880" s="34" t="s">
        <v>1170</v>
      </c>
    </row>
    <row r="881" spans="2:40" x14ac:dyDescent="0.3">
      <c r="B881" s="18" t="s">
        <v>4418</v>
      </c>
      <c r="C881" s="47" t="s">
        <v>3789</v>
      </c>
      <c r="D881" s="15" t="s">
        <v>4419</v>
      </c>
      <c r="E881" s="68" t="s">
        <v>2</v>
      </c>
      <c r="F881" s="55" t="s">
        <v>2</v>
      </c>
      <c r="G881" s="40" t="s">
        <v>3894</v>
      </c>
      <c r="H881" s="71" t="s">
        <v>2745</v>
      </c>
      <c r="I881" s="67" t="s">
        <v>1164</v>
      </c>
      <c r="J881" s="73" t="s">
        <v>270</v>
      </c>
      <c r="K881" s="4">
        <v>4999854</v>
      </c>
      <c r="L881" s="41">
        <v>97.388000000000005</v>
      </c>
      <c r="M881" s="4">
        <v>4869379</v>
      </c>
      <c r="N881" s="4">
        <v>5000000</v>
      </c>
      <c r="O881" s="4">
        <v>4999892</v>
      </c>
      <c r="P881" s="4">
        <v>0</v>
      </c>
      <c r="Q881" s="4">
        <v>38</v>
      </c>
      <c r="R881" s="4">
        <v>0</v>
      </c>
      <c r="S881" s="4">
        <v>0</v>
      </c>
      <c r="T881" s="23">
        <v>4.0199999999999996</v>
      </c>
      <c r="U881" s="23">
        <v>4.0549999999999997</v>
      </c>
      <c r="V881" s="5" t="s">
        <v>398</v>
      </c>
      <c r="W881" s="4">
        <v>6142</v>
      </c>
      <c r="X881" s="4">
        <v>122833</v>
      </c>
      <c r="Y881" s="14">
        <v>44684</v>
      </c>
      <c r="Z881" s="14">
        <v>46162</v>
      </c>
      <c r="AA881" s="2"/>
      <c r="AB881" s="69" t="s">
        <v>3892</v>
      </c>
      <c r="AC881" s="5" t="s">
        <v>4178</v>
      </c>
      <c r="AD881" s="84" t="s">
        <v>1921</v>
      </c>
      <c r="AE881" s="14">
        <v>45585</v>
      </c>
      <c r="AF881" s="23">
        <v>100</v>
      </c>
      <c r="AG881" s="14">
        <v>45616</v>
      </c>
      <c r="AH881" s="5" t="s">
        <v>2</v>
      </c>
      <c r="AI881" s="5" t="s">
        <v>2925</v>
      </c>
      <c r="AJ881" s="5" t="s">
        <v>2925</v>
      </c>
      <c r="AK881" s="21" t="s">
        <v>2</v>
      </c>
      <c r="AL881" s="72" t="s">
        <v>825</v>
      </c>
      <c r="AM881" s="54" t="s">
        <v>4179</v>
      </c>
      <c r="AN881" s="34" t="s">
        <v>1625</v>
      </c>
    </row>
    <row r="882" spans="2:40" x14ac:dyDescent="0.3">
      <c r="B882" s="18" t="s">
        <v>1014</v>
      </c>
      <c r="C882" s="47" t="s">
        <v>2656</v>
      </c>
      <c r="D882" s="15" t="s">
        <v>4419</v>
      </c>
      <c r="E882" s="68" t="s">
        <v>2</v>
      </c>
      <c r="F882" s="55" t="s">
        <v>2</v>
      </c>
      <c r="G882" s="40" t="s">
        <v>3894</v>
      </c>
      <c r="H882" s="71" t="s">
        <v>2745</v>
      </c>
      <c r="I882" s="67" t="s">
        <v>287</v>
      </c>
      <c r="J882" s="73" t="s">
        <v>270</v>
      </c>
      <c r="K882" s="4">
        <v>4999303</v>
      </c>
      <c r="L882" s="41">
        <v>97.203000000000003</v>
      </c>
      <c r="M882" s="4">
        <v>4860129</v>
      </c>
      <c r="N882" s="4">
        <v>5000000</v>
      </c>
      <c r="O882" s="4">
        <v>4999471</v>
      </c>
      <c r="P882" s="4">
        <v>0</v>
      </c>
      <c r="Q882" s="4">
        <v>168</v>
      </c>
      <c r="R882" s="4">
        <v>0</v>
      </c>
      <c r="S882" s="4">
        <v>0</v>
      </c>
      <c r="T882" s="23">
        <v>4.33</v>
      </c>
      <c r="U882" s="23">
        <v>4.375</v>
      </c>
      <c r="V882" s="5" t="s">
        <v>398</v>
      </c>
      <c r="W882" s="4">
        <v>6615</v>
      </c>
      <c r="X882" s="4">
        <v>132306</v>
      </c>
      <c r="Y882" s="14">
        <v>44684</v>
      </c>
      <c r="Z882" s="14">
        <v>46162</v>
      </c>
      <c r="AA882" s="2"/>
      <c r="AB882" s="69" t="s">
        <v>3892</v>
      </c>
      <c r="AC882" s="5" t="s">
        <v>4178</v>
      </c>
      <c r="AD882" s="84" t="s">
        <v>1921</v>
      </c>
      <c r="AE882" s="9">
        <v>45585</v>
      </c>
      <c r="AF882" s="23">
        <v>100</v>
      </c>
      <c r="AG882" s="14">
        <v>45646</v>
      </c>
      <c r="AH882" s="5" t="s">
        <v>2</v>
      </c>
      <c r="AI882" s="5" t="s">
        <v>2925</v>
      </c>
      <c r="AJ882" s="5" t="s">
        <v>2925</v>
      </c>
      <c r="AK882" s="21" t="s">
        <v>2</v>
      </c>
      <c r="AL882" s="72" t="s">
        <v>825</v>
      </c>
      <c r="AM882" s="54" t="s">
        <v>4179</v>
      </c>
      <c r="AN882" s="34" t="s">
        <v>819</v>
      </c>
    </row>
    <row r="883" spans="2:40" x14ac:dyDescent="0.3">
      <c r="B883" s="18" t="s">
        <v>2926</v>
      </c>
      <c r="C883" s="47" t="s">
        <v>3576</v>
      </c>
      <c r="D883" s="15" t="s">
        <v>4063</v>
      </c>
      <c r="E883" s="68" t="s">
        <v>2</v>
      </c>
      <c r="F883" s="55" t="s">
        <v>2</v>
      </c>
      <c r="G883" s="40" t="s">
        <v>3894</v>
      </c>
      <c r="H883" s="71" t="s">
        <v>2745</v>
      </c>
      <c r="I883" s="67" t="s">
        <v>8</v>
      </c>
      <c r="J883" s="73" t="s">
        <v>270</v>
      </c>
      <c r="K883" s="4">
        <v>3999808</v>
      </c>
      <c r="L883" s="41">
        <v>91.382000000000005</v>
      </c>
      <c r="M883" s="4">
        <v>3655285</v>
      </c>
      <c r="N883" s="4">
        <v>4000000</v>
      </c>
      <c r="O883" s="4">
        <v>3999847</v>
      </c>
      <c r="P883" s="4">
        <v>0</v>
      </c>
      <c r="Q883" s="4">
        <v>39</v>
      </c>
      <c r="R883" s="4">
        <v>0</v>
      </c>
      <c r="S883" s="4">
        <v>0</v>
      </c>
      <c r="T883" s="23">
        <v>1.79</v>
      </c>
      <c r="U883" s="23">
        <v>1.798</v>
      </c>
      <c r="V883" s="5" t="s">
        <v>398</v>
      </c>
      <c r="W883" s="4">
        <v>2983</v>
      </c>
      <c r="X883" s="4">
        <v>65037</v>
      </c>
      <c r="Y883" s="14">
        <v>44572</v>
      </c>
      <c r="Z883" s="14">
        <v>46860</v>
      </c>
      <c r="AA883" s="2"/>
      <c r="AB883" s="69" t="s">
        <v>3892</v>
      </c>
      <c r="AC883" s="5" t="s">
        <v>7</v>
      </c>
      <c r="AD883" s="84" t="s">
        <v>1921</v>
      </c>
      <c r="AE883" s="14">
        <v>45977</v>
      </c>
      <c r="AF883" s="23">
        <v>100</v>
      </c>
      <c r="AG883" s="14">
        <v>46219</v>
      </c>
      <c r="AH883" s="5" t="s">
        <v>2</v>
      </c>
      <c r="AI883" s="5" t="s">
        <v>667</v>
      </c>
      <c r="AJ883" s="5" t="s">
        <v>409</v>
      </c>
      <c r="AK883" s="21" t="s">
        <v>2</v>
      </c>
      <c r="AL883" s="72" t="s">
        <v>825</v>
      </c>
      <c r="AM883" s="54" t="s">
        <v>4179</v>
      </c>
      <c r="AN883" s="34" t="s">
        <v>1923</v>
      </c>
    </row>
    <row r="884" spans="2:40" x14ac:dyDescent="0.3">
      <c r="B884" s="18" t="s">
        <v>4066</v>
      </c>
      <c r="C884" s="47" t="s">
        <v>172</v>
      </c>
      <c r="D884" s="15" t="s">
        <v>2657</v>
      </c>
      <c r="E884" s="68" t="s">
        <v>2</v>
      </c>
      <c r="F884" s="55" t="s">
        <v>2</v>
      </c>
      <c r="G884" s="40" t="s">
        <v>3894</v>
      </c>
      <c r="H884" s="71" t="s">
        <v>2745</v>
      </c>
      <c r="I884" s="67" t="s">
        <v>3660</v>
      </c>
      <c r="J884" s="73" t="s">
        <v>270</v>
      </c>
      <c r="K884" s="4">
        <v>5599971</v>
      </c>
      <c r="L884" s="41">
        <v>89.986000000000004</v>
      </c>
      <c r="M884" s="4">
        <v>5039199</v>
      </c>
      <c r="N884" s="4">
        <v>5600000</v>
      </c>
      <c r="O884" s="4">
        <v>5599975</v>
      </c>
      <c r="P884" s="4">
        <v>0</v>
      </c>
      <c r="Q884" s="4">
        <v>3</v>
      </c>
      <c r="R884" s="4">
        <v>0</v>
      </c>
      <c r="S884" s="4">
        <v>0</v>
      </c>
      <c r="T884" s="23">
        <v>1.94</v>
      </c>
      <c r="U884" s="23">
        <v>1.948</v>
      </c>
      <c r="V884" s="5" t="s">
        <v>398</v>
      </c>
      <c r="W884" s="4">
        <v>4527</v>
      </c>
      <c r="X884" s="4">
        <v>98681</v>
      </c>
      <c r="Y884" s="14">
        <v>44572</v>
      </c>
      <c r="Z884" s="14">
        <v>46860</v>
      </c>
      <c r="AA884" s="2"/>
      <c r="AB884" s="69" t="s">
        <v>3892</v>
      </c>
      <c r="AC884" s="5" t="s">
        <v>7</v>
      </c>
      <c r="AD884" s="84" t="s">
        <v>1921</v>
      </c>
      <c r="AE884" s="9">
        <v>45977</v>
      </c>
      <c r="AF884" s="23">
        <v>100</v>
      </c>
      <c r="AG884" s="14">
        <v>46311</v>
      </c>
      <c r="AH884" s="5" t="s">
        <v>2</v>
      </c>
      <c r="AI884" s="5" t="s">
        <v>667</v>
      </c>
      <c r="AJ884" s="5" t="s">
        <v>2927</v>
      </c>
      <c r="AK884" s="21" t="s">
        <v>2</v>
      </c>
      <c r="AL884" s="72" t="s">
        <v>825</v>
      </c>
      <c r="AM884" s="54" t="s">
        <v>4179</v>
      </c>
      <c r="AN884" s="34" t="s">
        <v>1170</v>
      </c>
    </row>
    <row r="885" spans="2:40" x14ac:dyDescent="0.3">
      <c r="B885" s="18" t="s">
        <v>669</v>
      </c>
      <c r="C885" s="47" t="s">
        <v>2441</v>
      </c>
      <c r="D885" s="15" t="s">
        <v>3577</v>
      </c>
      <c r="E885" s="68" t="s">
        <v>2</v>
      </c>
      <c r="F885" s="55" t="s">
        <v>2</v>
      </c>
      <c r="G885" s="40" t="s">
        <v>3894</v>
      </c>
      <c r="H885" s="71" t="s">
        <v>2745</v>
      </c>
      <c r="I885" s="67" t="s">
        <v>3408</v>
      </c>
      <c r="J885" s="73" t="s">
        <v>270</v>
      </c>
      <c r="K885" s="4">
        <v>7575983</v>
      </c>
      <c r="L885" s="41">
        <v>96.382000000000005</v>
      </c>
      <c r="M885" s="4">
        <v>7439703</v>
      </c>
      <c r="N885" s="4">
        <v>7719000</v>
      </c>
      <c r="O885" s="4">
        <v>7669856</v>
      </c>
      <c r="P885" s="4">
        <v>0</v>
      </c>
      <c r="Q885" s="4">
        <v>36619</v>
      </c>
      <c r="R885" s="4">
        <v>0</v>
      </c>
      <c r="S885" s="4">
        <v>0</v>
      </c>
      <c r="T885" s="23">
        <v>2</v>
      </c>
      <c r="U885" s="23">
        <v>2.512</v>
      </c>
      <c r="V885" s="5" t="s">
        <v>398</v>
      </c>
      <c r="W885" s="4">
        <v>6861</v>
      </c>
      <c r="X885" s="4">
        <v>154380</v>
      </c>
      <c r="Y885" s="14">
        <v>43964</v>
      </c>
      <c r="Z885" s="14">
        <v>46069</v>
      </c>
      <c r="AA885" s="2"/>
      <c r="AB885" s="69" t="s">
        <v>3892</v>
      </c>
      <c r="AC885" s="5" t="s">
        <v>7</v>
      </c>
      <c r="AD885" s="84" t="s">
        <v>4179</v>
      </c>
      <c r="AE885" s="14">
        <v>45275</v>
      </c>
      <c r="AF885" s="23">
        <v>100</v>
      </c>
      <c r="AG885" s="14">
        <v>45458</v>
      </c>
      <c r="AH885" s="5" t="s">
        <v>2</v>
      </c>
      <c r="AI885" s="5" t="s">
        <v>2139</v>
      </c>
      <c r="AJ885" s="5" t="s">
        <v>824</v>
      </c>
      <c r="AK885" s="21" t="s">
        <v>2</v>
      </c>
      <c r="AL885" s="72" t="s">
        <v>2745</v>
      </c>
      <c r="AM885" s="54" t="s">
        <v>4179</v>
      </c>
      <c r="AN885" s="34" t="s">
        <v>2278</v>
      </c>
    </row>
    <row r="886" spans="2:40" x14ac:dyDescent="0.3">
      <c r="B886" s="18" t="s">
        <v>1806</v>
      </c>
      <c r="C886" s="47" t="s">
        <v>1316</v>
      </c>
      <c r="D886" s="15" t="s">
        <v>3577</v>
      </c>
      <c r="E886" s="68" t="s">
        <v>2</v>
      </c>
      <c r="F886" s="55" t="s">
        <v>2</v>
      </c>
      <c r="G886" s="40" t="s">
        <v>3894</v>
      </c>
      <c r="H886" s="71" t="s">
        <v>2745</v>
      </c>
      <c r="I886" s="67" t="s">
        <v>1164</v>
      </c>
      <c r="J886" s="73" t="s">
        <v>270</v>
      </c>
      <c r="K886" s="4">
        <v>5317908</v>
      </c>
      <c r="L886" s="41">
        <v>96.227999999999994</v>
      </c>
      <c r="M886" s="4">
        <v>5118380</v>
      </c>
      <c r="N886" s="4">
        <v>5319000</v>
      </c>
      <c r="O886" s="4">
        <v>5318488</v>
      </c>
      <c r="P886" s="4">
        <v>0</v>
      </c>
      <c r="Q886" s="4">
        <v>206</v>
      </c>
      <c r="R886" s="4">
        <v>0</v>
      </c>
      <c r="S886" s="4">
        <v>0</v>
      </c>
      <c r="T886" s="23">
        <v>2.12</v>
      </c>
      <c r="U886" s="23">
        <v>2.133</v>
      </c>
      <c r="V886" s="5" t="s">
        <v>398</v>
      </c>
      <c r="W886" s="4">
        <v>5012</v>
      </c>
      <c r="X886" s="4">
        <v>112763</v>
      </c>
      <c r="Y886" s="14">
        <v>43865</v>
      </c>
      <c r="Z886" s="14">
        <v>46433</v>
      </c>
      <c r="AA886" s="2"/>
      <c r="AB886" s="69" t="s">
        <v>3892</v>
      </c>
      <c r="AC886" s="5" t="s">
        <v>7</v>
      </c>
      <c r="AD886" s="84" t="s">
        <v>4179</v>
      </c>
      <c r="AE886" s="9">
        <v>45275</v>
      </c>
      <c r="AF886" s="23">
        <v>100</v>
      </c>
      <c r="AG886" s="9">
        <v>45611</v>
      </c>
      <c r="AH886" s="5" t="s">
        <v>2</v>
      </c>
      <c r="AI886" s="5" t="s">
        <v>2139</v>
      </c>
      <c r="AJ886" s="5" t="s">
        <v>824</v>
      </c>
      <c r="AK886" s="21" t="s">
        <v>2</v>
      </c>
      <c r="AL886" s="72" t="s">
        <v>2745</v>
      </c>
      <c r="AM886" s="54" t="s">
        <v>4179</v>
      </c>
      <c r="AN886" s="34" t="s">
        <v>1625</v>
      </c>
    </row>
    <row r="887" spans="2:40" x14ac:dyDescent="0.3">
      <c r="B887" s="18" t="s">
        <v>2928</v>
      </c>
      <c r="C887" s="47" t="s">
        <v>2442</v>
      </c>
      <c r="D887" s="15" t="s">
        <v>3577</v>
      </c>
      <c r="E887" s="68" t="s">
        <v>2</v>
      </c>
      <c r="F887" s="55" t="s">
        <v>2</v>
      </c>
      <c r="G887" s="40" t="s">
        <v>3894</v>
      </c>
      <c r="H887" s="71" t="s">
        <v>2745</v>
      </c>
      <c r="I887" s="67" t="s">
        <v>8</v>
      </c>
      <c r="J887" s="73" t="s">
        <v>270</v>
      </c>
      <c r="K887" s="4">
        <v>3598786</v>
      </c>
      <c r="L887" s="41">
        <v>90.709000000000003</v>
      </c>
      <c r="M887" s="4">
        <v>3265521</v>
      </c>
      <c r="N887" s="4">
        <v>3600000</v>
      </c>
      <c r="O887" s="4">
        <v>3599320</v>
      </c>
      <c r="P887" s="4">
        <v>0</v>
      </c>
      <c r="Q887" s="4">
        <v>283</v>
      </c>
      <c r="R887" s="4">
        <v>0</v>
      </c>
      <c r="S887" s="4">
        <v>0</v>
      </c>
      <c r="T887" s="23">
        <v>0.72</v>
      </c>
      <c r="U887" s="23">
        <v>0.72899999999999998</v>
      </c>
      <c r="V887" s="5" t="s">
        <v>398</v>
      </c>
      <c r="W887" s="4">
        <v>1152</v>
      </c>
      <c r="X887" s="4">
        <v>25920</v>
      </c>
      <c r="Y887" s="14">
        <v>44229</v>
      </c>
      <c r="Z887" s="14">
        <v>46371</v>
      </c>
      <c r="AA887" s="2"/>
      <c r="AB887" s="69" t="s">
        <v>3892</v>
      </c>
      <c r="AC887" s="5" t="s">
        <v>7</v>
      </c>
      <c r="AD887" s="84" t="s">
        <v>3564</v>
      </c>
      <c r="AE887" s="9">
        <v>45641</v>
      </c>
      <c r="AF887" s="23">
        <v>100</v>
      </c>
      <c r="AG887" s="9">
        <v>45853</v>
      </c>
      <c r="AH887" s="5" t="s">
        <v>2</v>
      </c>
      <c r="AI887" s="5" t="s">
        <v>2139</v>
      </c>
      <c r="AJ887" s="5" t="s">
        <v>824</v>
      </c>
      <c r="AK887" s="21" t="s">
        <v>2</v>
      </c>
      <c r="AL887" s="72" t="s">
        <v>2745</v>
      </c>
      <c r="AM887" s="54" t="s">
        <v>4179</v>
      </c>
      <c r="AN887" s="34" t="s">
        <v>1923</v>
      </c>
    </row>
    <row r="888" spans="2:40" x14ac:dyDescent="0.3">
      <c r="B888" s="18" t="s">
        <v>4067</v>
      </c>
      <c r="C888" s="47" t="s">
        <v>410</v>
      </c>
      <c r="D888" s="15" t="s">
        <v>3577</v>
      </c>
      <c r="E888" s="68" t="s">
        <v>2</v>
      </c>
      <c r="F888" s="55" t="s">
        <v>2</v>
      </c>
      <c r="G888" s="40" t="s">
        <v>3894</v>
      </c>
      <c r="H888" s="71" t="s">
        <v>2745</v>
      </c>
      <c r="I888" s="67" t="s">
        <v>1164</v>
      </c>
      <c r="J888" s="73" t="s">
        <v>270</v>
      </c>
      <c r="K888" s="4">
        <v>4163709</v>
      </c>
      <c r="L888" s="41">
        <v>90.513999999999996</v>
      </c>
      <c r="M888" s="4">
        <v>3769906</v>
      </c>
      <c r="N888" s="4">
        <v>4165000</v>
      </c>
      <c r="O888" s="4">
        <v>4164238</v>
      </c>
      <c r="P888" s="4">
        <v>0</v>
      </c>
      <c r="Q888" s="4">
        <v>281</v>
      </c>
      <c r="R888" s="4">
        <v>0</v>
      </c>
      <c r="S888" s="4">
        <v>0</v>
      </c>
      <c r="T888" s="23">
        <v>0.92</v>
      </c>
      <c r="U888" s="23">
        <v>0.92900000000000005</v>
      </c>
      <c r="V888" s="5" t="s">
        <v>398</v>
      </c>
      <c r="W888" s="4">
        <v>1703</v>
      </c>
      <c r="X888" s="4">
        <v>38318</v>
      </c>
      <c r="Y888" s="14">
        <v>44229</v>
      </c>
      <c r="Z888" s="14">
        <v>46736</v>
      </c>
      <c r="AA888" s="2"/>
      <c r="AB888" s="69" t="s">
        <v>3892</v>
      </c>
      <c r="AC888" s="5" t="s">
        <v>7</v>
      </c>
      <c r="AD888" s="84" t="s">
        <v>3564</v>
      </c>
      <c r="AE888" s="9">
        <v>45641</v>
      </c>
      <c r="AF888" s="23">
        <v>100</v>
      </c>
      <c r="AG888" s="9">
        <v>45945</v>
      </c>
      <c r="AH888" s="5" t="s">
        <v>2</v>
      </c>
      <c r="AI888" s="5" t="s">
        <v>2139</v>
      </c>
      <c r="AJ888" s="5" t="s">
        <v>824</v>
      </c>
      <c r="AK888" s="21" t="s">
        <v>2</v>
      </c>
      <c r="AL888" s="72" t="s">
        <v>2745</v>
      </c>
      <c r="AM888" s="54" t="s">
        <v>4179</v>
      </c>
      <c r="AN888" s="34" t="s">
        <v>1625</v>
      </c>
    </row>
    <row r="889" spans="2:40" x14ac:dyDescent="0.3">
      <c r="B889" s="18" t="s">
        <v>1015</v>
      </c>
      <c r="C889" s="47" t="s">
        <v>1530</v>
      </c>
      <c r="D889" s="15" t="s">
        <v>3577</v>
      </c>
      <c r="E889" s="68" t="s">
        <v>2</v>
      </c>
      <c r="F889" s="55" t="s">
        <v>2</v>
      </c>
      <c r="G889" s="40" t="s">
        <v>3894</v>
      </c>
      <c r="H889" s="71" t="s">
        <v>2745</v>
      </c>
      <c r="I889" s="67" t="s">
        <v>1164</v>
      </c>
      <c r="J889" s="73" t="s">
        <v>270</v>
      </c>
      <c r="K889" s="4">
        <v>3749062</v>
      </c>
      <c r="L889" s="41">
        <v>88.962999999999994</v>
      </c>
      <c r="M889" s="4">
        <v>3336117</v>
      </c>
      <c r="N889" s="4">
        <v>3750000</v>
      </c>
      <c r="O889" s="4">
        <v>3749322</v>
      </c>
      <c r="P889" s="4">
        <v>0</v>
      </c>
      <c r="Q889" s="4">
        <v>211</v>
      </c>
      <c r="R889" s="4">
        <v>0</v>
      </c>
      <c r="S889" s="4">
        <v>0</v>
      </c>
      <c r="T889" s="23">
        <v>1.31</v>
      </c>
      <c r="U889" s="23">
        <v>1.32</v>
      </c>
      <c r="V889" s="5" t="s">
        <v>398</v>
      </c>
      <c r="W889" s="4">
        <v>2183</v>
      </c>
      <c r="X889" s="4">
        <v>49125</v>
      </c>
      <c r="Y889" s="14">
        <v>44467</v>
      </c>
      <c r="Z889" s="14">
        <v>46645</v>
      </c>
      <c r="AA889" s="2"/>
      <c r="AB889" s="69" t="s">
        <v>3892</v>
      </c>
      <c r="AC889" s="5" t="s">
        <v>7</v>
      </c>
      <c r="AD889" s="84" t="s">
        <v>4179</v>
      </c>
      <c r="AE889" s="14">
        <v>45945</v>
      </c>
      <c r="AF889" s="23">
        <v>100</v>
      </c>
      <c r="AG889" s="9">
        <v>46127</v>
      </c>
      <c r="AH889" s="5" t="s">
        <v>2</v>
      </c>
      <c r="AI889" s="5" t="s">
        <v>2139</v>
      </c>
      <c r="AJ889" s="5" t="s">
        <v>824</v>
      </c>
      <c r="AK889" s="21" t="s">
        <v>2</v>
      </c>
      <c r="AL889" s="72" t="s">
        <v>2745</v>
      </c>
      <c r="AM889" s="54" t="s">
        <v>4179</v>
      </c>
      <c r="AN889" s="34" t="s">
        <v>1625</v>
      </c>
    </row>
    <row r="890" spans="2:40" x14ac:dyDescent="0.3">
      <c r="B890" s="18" t="s">
        <v>2140</v>
      </c>
      <c r="C890" s="47" t="s">
        <v>1317</v>
      </c>
      <c r="D890" s="15" t="s">
        <v>3577</v>
      </c>
      <c r="E890" s="68" t="s">
        <v>2</v>
      </c>
      <c r="F890" s="55" t="s">
        <v>2</v>
      </c>
      <c r="G890" s="40" t="s">
        <v>3894</v>
      </c>
      <c r="H890" s="71" t="s">
        <v>2745</v>
      </c>
      <c r="I890" s="67" t="s">
        <v>287</v>
      </c>
      <c r="J890" s="73" t="s">
        <v>270</v>
      </c>
      <c r="K890" s="4">
        <v>5556940</v>
      </c>
      <c r="L890" s="41">
        <v>88.474999999999994</v>
      </c>
      <c r="M890" s="4">
        <v>4917438</v>
      </c>
      <c r="N890" s="4">
        <v>5558000</v>
      </c>
      <c r="O890" s="4">
        <v>5557214</v>
      </c>
      <c r="P890" s="4">
        <v>0</v>
      </c>
      <c r="Q890" s="4">
        <v>222</v>
      </c>
      <c r="R890" s="4">
        <v>0</v>
      </c>
      <c r="S890" s="4">
        <v>0</v>
      </c>
      <c r="T890" s="23">
        <v>1.56</v>
      </c>
      <c r="U890" s="23">
        <v>1.569</v>
      </c>
      <c r="V890" s="5" t="s">
        <v>398</v>
      </c>
      <c r="W890" s="4">
        <v>3854</v>
      </c>
      <c r="X890" s="4">
        <v>86705</v>
      </c>
      <c r="Y890" s="14">
        <v>44467</v>
      </c>
      <c r="Z890" s="14">
        <v>47011</v>
      </c>
      <c r="AA890" s="2"/>
      <c r="AB890" s="69" t="s">
        <v>3892</v>
      </c>
      <c r="AC890" s="5" t="s">
        <v>7</v>
      </c>
      <c r="AD890" s="84" t="s">
        <v>4179</v>
      </c>
      <c r="AE890" s="14">
        <v>45945</v>
      </c>
      <c r="AF890" s="23">
        <v>100</v>
      </c>
      <c r="AG890" s="14">
        <v>46218</v>
      </c>
      <c r="AH890" s="5" t="s">
        <v>2</v>
      </c>
      <c r="AI890" s="5" t="s">
        <v>2139</v>
      </c>
      <c r="AJ890" s="5" t="s">
        <v>824</v>
      </c>
      <c r="AK890" s="21" t="s">
        <v>2</v>
      </c>
      <c r="AL890" s="72" t="s">
        <v>2745</v>
      </c>
      <c r="AM890" s="54" t="s">
        <v>4179</v>
      </c>
      <c r="AN890" s="34" t="s">
        <v>819</v>
      </c>
    </row>
    <row r="891" spans="2:40" x14ac:dyDescent="0.3">
      <c r="B891" s="18" t="s">
        <v>3274</v>
      </c>
      <c r="C891" s="47" t="s">
        <v>1531</v>
      </c>
      <c r="D891" s="15" t="s">
        <v>411</v>
      </c>
      <c r="E891" s="68" t="s">
        <v>2</v>
      </c>
      <c r="F891" s="55" t="s">
        <v>2</v>
      </c>
      <c r="G891" s="40" t="s">
        <v>3894</v>
      </c>
      <c r="H891" s="71" t="s">
        <v>2745</v>
      </c>
      <c r="I891" s="67" t="s">
        <v>8</v>
      </c>
      <c r="J891" s="73" t="s">
        <v>270</v>
      </c>
      <c r="K891" s="4">
        <v>5499713</v>
      </c>
      <c r="L891" s="41">
        <v>100.27800000000001</v>
      </c>
      <c r="M891" s="4">
        <v>5515291</v>
      </c>
      <c r="N891" s="4">
        <v>5500000</v>
      </c>
      <c r="O891" s="4">
        <v>5499721</v>
      </c>
      <c r="P891" s="4">
        <v>0</v>
      </c>
      <c r="Q891" s="4">
        <v>8</v>
      </c>
      <c r="R891" s="4">
        <v>0</v>
      </c>
      <c r="S891" s="4">
        <v>0</v>
      </c>
      <c r="T891" s="23">
        <v>5.93</v>
      </c>
      <c r="U891" s="23">
        <v>6.0060000000000002</v>
      </c>
      <c r="V891" s="5" t="s">
        <v>398</v>
      </c>
      <c r="W891" s="4">
        <v>9966</v>
      </c>
      <c r="X891" s="4">
        <v>55264</v>
      </c>
      <c r="Y891" s="14">
        <v>44846</v>
      </c>
      <c r="Z891" s="14">
        <v>47350</v>
      </c>
      <c r="AA891" s="2"/>
      <c r="AB891" s="69" t="s">
        <v>3892</v>
      </c>
      <c r="AC891" s="5" t="s">
        <v>7</v>
      </c>
      <c r="AD891" s="84" t="s">
        <v>4179</v>
      </c>
      <c r="AE891" s="14">
        <v>45797</v>
      </c>
      <c r="AF891" s="23">
        <v>100</v>
      </c>
      <c r="AG891" s="14">
        <v>45797</v>
      </c>
      <c r="AH891" s="5" t="s">
        <v>2</v>
      </c>
      <c r="AI891" s="5" t="s">
        <v>2929</v>
      </c>
      <c r="AJ891" s="5" t="s">
        <v>824</v>
      </c>
      <c r="AK891" s="21" t="s">
        <v>2</v>
      </c>
      <c r="AL891" s="72" t="s">
        <v>825</v>
      </c>
      <c r="AM891" s="54" t="s">
        <v>4179</v>
      </c>
      <c r="AN891" s="34" t="s">
        <v>1923</v>
      </c>
    </row>
    <row r="892" spans="2:40" x14ac:dyDescent="0.3">
      <c r="B892" s="18" t="s">
        <v>4420</v>
      </c>
      <c r="C892" s="47" t="s">
        <v>1532</v>
      </c>
      <c r="D892" s="15" t="s">
        <v>411</v>
      </c>
      <c r="E892" s="68" t="s">
        <v>2</v>
      </c>
      <c r="F892" s="55" t="s">
        <v>2</v>
      </c>
      <c r="G892" s="40" t="s">
        <v>3894</v>
      </c>
      <c r="H892" s="71" t="s">
        <v>2745</v>
      </c>
      <c r="I892" s="67" t="s">
        <v>3660</v>
      </c>
      <c r="J892" s="73" t="s">
        <v>270</v>
      </c>
      <c r="K892" s="4">
        <v>4499758</v>
      </c>
      <c r="L892" s="41">
        <v>100.411</v>
      </c>
      <c r="M892" s="4">
        <v>4518482</v>
      </c>
      <c r="N892" s="4">
        <v>4500000</v>
      </c>
      <c r="O892" s="4">
        <v>4499762</v>
      </c>
      <c r="P892" s="4">
        <v>0</v>
      </c>
      <c r="Q892" s="4">
        <v>5</v>
      </c>
      <c r="R892" s="4">
        <v>0</v>
      </c>
      <c r="S892" s="4">
        <v>0</v>
      </c>
      <c r="T892" s="23">
        <v>6.13</v>
      </c>
      <c r="U892" s="23">
        <v>6.2110000000000003</v>
      </c>
      <c r="V892" s="5" t="s">
        <v>398</v>
      </c>
      <c r="W892" s="4">
        <v>8429</v>
      </c>
      <c r="X892" s="4">
        <v>46741</v>
      </c>
      <c r="Y892" s="14">
        <v>44846</v>
      </c>
      <c r="Z892" s="14">
        <v>47350</v>
      </c>
      <c r="AA892" s="2"/>
      <c r="AB892" s="69" t="s">
        <v>3892</v>
      </c>
      <c r="AC892" s="5" t="s">
        <v>7</v>
      </c>
      <c r="AD892" s="84" t="s">
        <v>4179</v>
      </c>
      <c r="AE892" s="14">
        <v>45920</v>
      </c>
      <c r="AF892" s="23">
        <v>100</v>
      </c>
      <c r="AG892" s="14">
        <v>45920</v>
      </c>
      <c r="AH892" s="5" t="s">
        <v>2</v>
      </c>
      <c r="AI892" s="5" t="s">
        <v>2929</v>
      </c>
      <c r="AJ892" s="5" t="s">
        <v>824</v>
      </c>
      <c r="AK892" s="21" t="s">
        <v>2</v>
      </c>
      <c r="AL892" s="72" t="s">
        <v>825</v>
      </c>
      <c r="AM892" s="54" t="s">
        <v>4179</v>
      </c>
      <c r="AN892" s="34" t="s">
        <v>1170</v>
      </c>
    </row>
    <row r="893" spans="2:40" x14ac:dyDescent="0.3">
      <c r="B893" s="18" t="s">
        <v>1807</v>
      </c>
      <c r="C893" s="47" t="s">
        <v>1016</v>
      </c>
      <c r="D893" s="15" t="s">
        <v>4068</v>
      </c>
      <c r="E893" s="68" t="s">
        <v>2</v>
      </c>
      <c r="F893" s="55" t="s">
        <v>2</v>
      </c>
      <c r="G893" s="40" t="s">
        <v>3894</v>
      </c>
      <c r="H893" s="71" t="s">
        <v>2745</v>
      </c>
      <c r="I893" s="67" t="s">
        <v>3408</v>
      </c>
      <c r="J893" s="73" t="s">
        <v>270</v>
      </c>
      <c r="K893" s="4">
        <v>3069936</v>
      </c>
      <c r="L893" s="41">
        <v>91.126999999999995</v>
      </c>
      <c r="M893" s="4">
        <v>2797954</v>
      </c>
      <c r="N893" s="4">
        <v>3070403</v>
      </c>
      <c r="O893" s="4">
        <v>3070057</v>
      </c>
      <c r="P893" s="4">
        <v>0</v>
      </c>
      <c r="Q893" s="4">
        <v>52</v>
      </c>
      <c r="R893" s="4">
        <v>0</v>
      </c>
      <c r="S893" s="4">
        <v>0</v>
      </c>
      <c r="T893" s="23">
        <v>1.39</v>
      </c>
      <c r="U893" s="23">
        <v>1.397</v>
      </c>
      <c r="V893" s="5" t="s">
        <v>398</v>
      </c>
      <c r="W893" s="4">
        <v>2608</v>
      </c>
      <c r="X893" s="4">
        <v>42679</v>
      </c>
      <c r="Y893" s="14">
        <v>44078</v>
      </c>
      <c r="Z893" s="14">
        <v>51052</v>
      </c>
      <c r="AA893" s="2"/>
      <c r="AB893" s="69" t="s">
        <v>3892</v>
      </c>
      <c r="AC893" s="5" t="s">
        <v>7</v>
      </c>
      <c r="AD893" s="84" t="s">
        <v>1921</v>
      </c>
      <c r="AE893" s="14">
        <v>46730</v>
      </c>
      <c r="AF893" s="23">
        <v>100</v>
      </c>
      <c r="AG893" s="14">
        <v>47339</v>
      </c>
      <c r="AH893" s="5" t="s">
        <v>2</v>
      </c>
      <c r="AI893" s="5" t="s">
        <v>412</v>
      </c>
      <c r="AJ893" s="5" t="s">
        <v>824</v>
      </c>
      <c r="AK893" s="21" t="s">
        <v>2</v>
      </c>
      <c r="AL893" s="72" t="s">
        <v>2745</v>
      </c>
      <c r="AM893" s="54" t="s">
        <v>4179</v>
      </c>
      <c r="AN893" s="34" t="s">
        <v>2278</v>
      </c>
    </row>
    <row r="894" spans="2:40" x14ac:dyDescent="0.3">
      <c r="B894" s="18" t="s">
        <v>2930</v>
      </c>
      <c r="C894" s="47" t="s">
        <v>1017</v>
      </c>
      <c r="D894" s="15" t="s">
        <v>4068</v>
      </c>
      <c r="E894" s="68" t="s">
        <v>2</v>
      </c>
      <c r="F894" s="55" t="s">
        <v>2</v>
      </c>
      <c r="G894" s="40" t="s">
        <v>3894</v>
      </c>
      <c r="H894" s="71" t="s">
        <v>2745</v>
      </c>
      <c r="I894" s="67" t="s">
        <v>287</v>
      </c>
      <c r="J894" s="73" t="s">
        <v>270</v>
      </c>
      <c r="K894" s="4">
        <v>1819030</v>
      </c>
      <c r="L894" s="41">
        <v>91.679000000000002</v>
      </c>
      <c r="M894" s="4">
        <v>1668090</v>
      </c>
      <c r="N894" s="4">
        <v>1819498</v>
      </c>
      <c r="O894" s="4">
        <v>1819149</v>
      </c>
      <c r="P894" s="4">
        <v>0</v>
      </c>
      <c r="Q894" s="4">
        <v>52</v>
      </c>
      <c r="R894" s="4">
        <v>0</v>
      </c>
      <c r="S894" s="4">
        <v>0</v>
      </c>
      <c r="T894" s="23">
        <v>2.23</v>
      </c>
      <c r="U894" s="23">
        <v>2.246</v>
      </c>
      <c r="V894" s="5" t="s">
        <v>398</v>
      </c>
      <c r="W894" s="4">
        <v>2480</v>
      </c>
      <c r="X894" s="4">
        <v>40575</v>
      </c>
      <c r="Y894" s="14">
        <v>44078</v>
      </c>
      <c r="Z894" s="14">
        <v>51052</v>
      </c>
      <c r="AA894" s="2"/>
      <c r="AB894" s="69" t="s">
        <v>3892</v>
      </c>
      <c r="AC894" s="5" t="s">
        <v>7</v>
      </c>
      <c r="AD894" s="84" t="s">
        <v>1921</v>
      </c>
      <c r="AE894" s="14">
        <v>46730</v>
      </c>
      <c r="AF894" s="23">
        <v>100</v>
      </c>
      <c r="AG894" s="14">
        <v>47339</v>
      </c>
      <c r="AH894" s="5" t="s">
        <v>2</v>
      </c>
      <c r="AI894" s="5" t="s">
        <v>412</v>
      </c>
      <c r="AJ894" s="5" t="s">
        <v>824</v>
      </c>
      <c r="AK894" s="21" t="s">
        <v>2</v>
      </c>
      <c r="AL894" s="72" t="s">
        <v>2745</v>
      </c>
      <c r="AM894" s="54" t="s">
        <v>4179</v>
      </c>
      <c r="AN894" s="34" t="s">
        <v>819</v>
      </c>
    </row>
    <row r="895" spans="2:40" x14ac:dyDescent="0.3">
      <c r="B895" s="18" t="s">
        <v>4069</v>
      </c>
      <c r="C895" s="47" t="s">
        <v>413</v>
      </c>
      <c r="D895" s="15" t="s">
        <v>411</v>
      </c>
      <c r="E895" s="68" t="s">
        <v>2</v>
      </c>
      <c r="F895" s="55" t="s">
        <v>2</v>
      </c>
      <c r="G895" s="40" t="s">
        <v>3894</v>
      </c>
      <c r="H895" s="71" t="s">
        <v>2745</v>
      </c>
      <c r="I895" s="67" t="s">
        <v>1164</v>
      </c>
      <c r="J895" s="73" t="s">
        <v>270</v>
      </c>
      <c r="K895" s="4">
        <v>4999693</v>
      </c>
      <c r="L895" s="41">
        <v>96.712000000000003</v>
      </c>
      <c r="M895" s="4">
        <v>4835623</v>
      </c>
      <c r="N895" s="4">
        <v>5000000</v>
      </c>
      <c r="O895" s="4">
        <v>4999791</v>
      </c>
      <c r="P895" s="4">
        <v>0</v>
      </c>
      <c r="Q895" s="4">
        <v>99</v>
      </c>
      <c r="R895" s="4">
        <v>0</v>
      </c>
      <c r="S895" s="4">
        <v>0</v>
      </c>
      <c r="T895" s="23">
        <v>4.2</v>
      </c>
      <c r="U895" s="23">
        <v>4.2389999999999999</v>
      </c>
      <c r="V895" s="5" t="s">
        <v>398</v>
      </c>
      <c r="W895" s="4">
        <v>6417</v>
      </c>
      <c r="X895" s="4">
        <v>119583</v>
      </c>
      <c r="Y895" s="14">
        <v>44698</v>
      </c>
      <c r="Z895" s="14">
        <v>47381</v>
      </c>
      <c r="AA895" s="2"/>
      <c r="AB895" s="69" t="s">
        <v>3892</v>
      </c>
      <c r="AC895" s="5" t="s">
        <v>7</v>
      </c>
      <c r="AD895" s="84" t="s">
        <v>4179</v>
      </c>
      <c r="AE895" s="14">
        <v>45981</v>
      </c>
      <c r="AF895" s="23">
        <v>100</v>
      </c>
      <c r="AG895" s="14">
        <v>45677</v>
      </c>
      <c r="AH895" s="5" t="s">
        <v>2</v>
      </c>
      <c r="AI895" s="5" t="s">
        <v>2929</v>
      </c>
      <c r="AJ895" s="5" t="s">
        <v>824</v>
      </c>
      <c r="AK895" s="21" t="s">
        <v>2</v>
      </c>
      <c r="AL895" s="72" t="s">
        <v>825</v>
      </c>
      <c r="AM895" s="54" t="s">
        <v>4179</v>
      </c>
      <c r="AN895" s="34" t="s">
        <v>1625</v>
      </c>
    </row>
    <row r="896" spans="2:40" x14ac:dyDescent="0.3">
      <c r="B896" s="18" t="s">
        <v>670</v>
      </c>
      <c r="C896" s="47" t="s">
        <v>3275</v>
      </c>
      <c r="D896" s="15" t="s">
        <v>3790</v>
      </c>
      <c r="E896" s="68" t="s">
        <v>2</v>
      </c>
      <c r="F896" s="55" t="s">
        <v>2</v>
      </c>
      <c r="G896" s="40" t="s">
        <v>3894</v>
      </c>
      <c r="H896" s="71" t="s">
        <v>2745</v>
      </c>
      <c r="I896" s="67" t="s">
        <v>3408</v>
      </c>
      <c r="J896" s="73" t="s">
        <v>270</v>
      </c>
      <c r="K896" s="4">
        <v>7446242</v>
      </c>
      <c r="L896" s="41">
        <v>96.024000000000001</v>
      </c>
      <c r="M896" s="4">
        <v>7151448</v>
      </c>
      <c r="N896" s="4">
        <v>7447596</v>
      </c>
      <c r="O896" s="4">
        <v>7446324</v>
      </c>
      <c r="P896" s="4">
        <v>0</v>
      </c>
      <c r="Q896" s="4">
        <v>82</v>
      </c>
      <c r="R896" s="4">
        <v>0</v>
      </c>
      <c r="S896" s="4">
        <v>0</v>
      </c>
      <c r="T896" s="23">
        <v>4.3</v>
      </c>
      <c r="U896" s="23">
        <v>4.343</v>
      </c>
      <c r="V896" s="5" t="s">
        <v>398</v>
      </c>
      <c r="W896" s="4">
        <v>5337</v>
      </c>
      <c r="X896" s="4">
        <v>119203</v>
      </c>
      <c r="Y896" s="14">
        <v>44774</v>
      </c>
      <c r="Z896" s="14">
        <v>50065</v>
      </c>
      <c r="AA896" s="2"/>
      <c r="AB896" s="69" t="s">
        <v>3892</v>
      </c>
      <c r="AC896" s="5" t="s">
        <v>7</v>
      </c>
      <c r="AD896" s="84" t="s">
        <v>1921</v>
      </c>
      <c r="AE896" s="14">
        <v>47355</v>
      </c>
      <c r="AF896" s="23">
        <v>100</v>
      </c>
      <c r="AG896" s="14">
        <v>48177</v>
      </c>
      <c r="AH896" s="5" t="s">
        <v>2</v>
      </c>
      <c r="AI896" s="5" t="s">
        <v>4070</v>
      </c>
      <c r="AJ896" s="5" t="s">
        <v>824</v>
      </c>
      <c r="AK896" s="21" t="s">
        <v>2</v>
      </c>
      <c r="AL896" s="72" t="s">
        <v>3894</v>
      </c>
      <c r="AM896" s="54" t="s">
        <v>4179</v>
      </c>
      <c r="AN896" s="34" t="s">
        <v>2278</v>
      </c>
    </row>
    <row r="897" spans="2:40" x14ac:dyDescent="0.3">
      <c r="B897" s="18" t="s">
        <v>2141</v>
      </c>
      <c r="C897" s="47" t="s">
        <v>1318</v>
      </c>
      <c r="D897" s="15" t="s">
        <v>3790</v>
      </c>
      <c r="E897" s="68" t="s">
        <v>2</v>
      </c>
      <c r="F897" s="55" t="s">
        <v>2</v>
      </c>
      <c r="G897" s="40" t="s">
        <v>3894</v>
      </c>
      <c r="H897" s="71" t="s">
        <v>2745</v>
      </c>
      <c r="I897" s="67" t="s">
        <v>287</v>
      </c>
      <c r="J897" s="73" t="s">
        <v>270</v>
      </c>
      <c r="K897" s="4">
        <v>4653693</v>
      </c>
      <c r="L897" s="41">
        <v>96.063999999999993</v>
      </c>
      <c r="M897" s="4">
        <v>4471516</v>
      </c>
      <c r="N897" s="4">
        <v>4654748</v>
      </c>
      <c r="O897" s="4">
        <v>4653756</v>
      </c>
      <c r="P897" s="4">
        <v>0</v>
      </c>
      <c r="Q897" s="4">
        <v>63</v>
      </c>
      <c r="R897" s="4">
        <v>0</v>
      </c>
      <c r="S897" s="4">
        <v>0</v>
      </c>
      <c r="T897" s="23">
        <v>4.74</v>
      </c>
      <c r="U897" s="23">
        <v>4.7919999999999998</v>
      </c>
      <c r="V897" s="5" t="s">
        <v>398</v>
      </c>
      <c r="W897" s="4">
        <v>3677</v>
      </c>
      <c r="X897" s="4">
        <v>82125</v>
      </c>
      <c r="Y897" s="14">
        <v>44774</v>
      </c>
      <c r="Z897" s="14">
        <v>50065</v>
      </c>
      <c r="AA897" s="2"/>
      <c r="AB897" s="69" t="s">
        <v>3892</v>
      </c>
      <c r="AC897" s="5" t="s">
        <v>7</v>
      </c>
      <c r="AD897" s="84" t="s">
        <v>1921</v>
      </c>
      <c r="AE897" s="14">
        <v>47355</v>
      </c>
      <c r="AF897" s="23">
        <v>100</v>
      </c>
      <c r="AG897" s="14">
        <v>48177</v>
      </c>
      <c r="AH897" s="5" t="s">
        <v>2</v>
      </c>
      <c r="AI897" s="5" t="s">
        <v>4070</v>
      </c>
      <c r="AJ897" s="5" t="s">
        <v>824</v>
      </c>
      <c r="AK897" s="21" t="s">
        <v>2</v>
      </c>
      <c r="AL897" s="72" t="s">
        <v>825</v>
      </c>
      <c r="AM897" s="54" t="s">
        <v>4179</v>
      </c>
      <c r="AN897" s="34" t="s">
        <v>819</v>
      </c>
    </row>
    <row r="898" spans="2:40" x14ac:dyDescent="0.3">
      <c r="B898" s="18" t="s">
        <v>3276</v>
      </c>
      <c r="C898" s="47" t="s">
        <v>671</v>
      </c>
      <c r="D898" s="15" t="s">
        <v>3790</v>
      </c>
      <c r="E898" s="68" t="s">
        <v>2</v>
      </c>
      <c r="F898" s="55" t="s">
        <v>2</v>
      </c>
      <c r="G898" s="40" t="s">
        <v>3894</v>
      </c>
      <c r="H898" s="71" t="s">
        <v>2745</v>
      </c>
      <c r="I898" s="67" t="s">
        <v>3408</v>
      </c>
      <c r="J898" s="73" t="s">
        <v>270</v>
      </c>
      <c r="K898" s="4">
        <v>1396440</v>
      </c>
      <c r="L898" s="41">
        <v>96.668999999999997</v>
      </c>
      <c r="M898" s="4">
        <v>1349958</v>
      </c>
      <c r="N898" s="4">
        <v>1396473</v>
      </c>
      <c r="O898" s="4">
        <v>1396415</v>
      </c>
      <c r="P898" s="4">
        <v>0</v>
      </c>
      <c r="Q898" s="4">
        <v>-11</v>
      </c>
      <c r="R898" s="4">
        <v>0</v>
      </c>
      <c r="S898" s="4">
        <v>0</v>
      </c>
      <c r="T898" s="23">
        <v>3.54</v>
      </c>
      <c r="U898" s="23">
        <v>3.5649999999999999</v>
      </c>
      <c r="V898" s="5" t="s">
        <v>398</v>
      </c>
      <c r="W898" s="4">
        <v>824</v>
      </c>
      <c r="X898" s="4">
        <v>49435</v>
      </c>
      <c r="Y898" s="14">
        <v>43354</v>
      </c>
      <c r="Z898" s="14">
        <v>48269</v>
      </c>
      <c r="AA898" s="2"/>
      <c r="AB898" s="69" t="s">
        <v>3892</v>
      </c>
      <c r="AC898" s="5" t="s">
        <v>7</v>
      </c>
      <c r="AD898" s="84" t="s">
        <v>1921</v>
      </c>
      <c r="AE898" s="14">
        <v>45863</v>
      </c>
      <c r="AF898" s="23">
        <v>100</v>
      </c>
      <c r="AG898" s="14">
        <v>46532</v>
      </c>
      <c r="AH898" s="5" t="s">
        <v>2</v>
      </c>
      <c r="AI898" s="5" t="s">
        <v>4070</v>
      </c>
      <c r="AJ898" s="5" t="s">
        <v>824</v>
      </c>
      <c r="AK898" s="21" t="s">
        <v>2</v>
      </c>
      <c r="AL898" s="72" t="s">
        <v>2745</v>
      </c>
      <c r="AM898" s="54" t="s">
        <v>4179</v>
      </c>
      <c r="AN898" s="34" t="s">
        <v>2278</v>
      </c>
    </row>
    <row r="899" spans="2:40" x14ac:dyDescent="0.3">
      <c r="B899" s="18" t="s">
        <v>4421</v>
      </c>
      <c r="C899" s="47" t="s">
        <v>3277</v>
      </c>
      <c r="D899" s="15" t="s">
        <v>3790</v>
      </c>
      <c r="E899" s="68" t="s">
        <v>2</v>
      </c>
      <c r="F899" s="55" t="s">
        <v>2</v>
      </c>
      <c r="G899" s="40" t="s">
        <v>3894</v>
      </c>
      <c r="H899" s="71" t="s">
        <v>2745</v>
      </c>
      <c r="I899" s="67" t="s">
        <v>287</v>
      </c>
      <c r="J899" s="73" t="s">
        <v>270</v>
      </c>
      <c r="K899" s="4">
        <v>1689842</v>
      </c>
      <c r="L899" s="41">
        <v>96.144000000000005</v>
      </c>
      <c r="M899" s="4">
        <v>1611143</v>
      </c>
      <c r="N899" s="4">
        <v>1675767</v>
      </c>
      <c r="O899" s="4">
        <v>1683479</v>
      </c>
      <c r="P899" s="4">
        <v>0</v>
      </c>
      <c r="Q899" s="4">
        <v>-1773</v>
      </c>
      <c r="R899" s="4">
        <v>0</v>
      </c>
      <c r="S899" s="4">
        <v>0</v>
      </c>
      <c r="T899" s="23">
        <v>3.7</v>
      </c>
      <c r="U899" s="23">
        <v>3.512</v>
      </c>
      <c r="V899" s="5" t="s">
        <v>398</v>
      </c>
      <c r="W899" s="4">
        <v>1033</v>
      </c>
      <c r="X899" s="4">
        <v>62004</v>
      </c>
      <c r="Y899" s="14">
        <v>43551</v>
      </c>
      <c r="Z899" s="14">
        <v>48269</v>
      </c>
      <c r="AA899" s="2"/>
      <c r="AB899" s="69" t="s">
        <v>3892</v>
      </c>
      <c r="AC899" s="5" t="s">
        <v>7</v>
      </c>
      <c r="AD899" s="84" t="s">
        <v>1921</v>
      </c>
      <c r="AE899" s="14">
        <v>45863</v>
      </c>
      <c r="AF899" s="23">
        <v>100</v>
      </c>
      <c r="AG899" s="14">
        <v>46532</v>
      </c>
      <c r="AH899" s="5" t="s">
        <v>2</v>
      </c>
      <c r="AI899" s="5" t="s">
        <v>4070</v>
      </c>
      <c r="AJ899" s="5" t="s">
        <v>824</v>
      </c>
      <c r="AK899" s="21" t="s">
        <v>2</v>
      </c>
      <c r="AL899" s="72" t="s">
        <v>2745</v>
      </c>
      <c r="AM899" s="54" t="s">
        <v>4179</v>
      </c>
      <c r="AN899" s="34" t="s">
        <v>819</v>
      </c>
    </row>
    <row r="900" spans="2:40" x14ac:dyDescent="0.3">
      <c r="B900" s="18" t="s">
        <v>1018</v>
      </c>
      <c r="C900" s="47" t="s">
        <v>3278</v>
      </c>
      <c r="D900" s="15" t="s">
        <v>3790</v>
      </c>
      <c r="E900" s="68" t="s">
        <v>2</v>
      </c>
      <c r="F900" s="55" t="s">
        <v>2</v>
      </c>
      <c r="G900" s="40" t="s">
        <v>3894</v>
      </c>
      <c r="H900" s="71" t="s">
        <v>3894</v>
      </c>
      <c r="I900" s="67" t="s">
        <v>8</v>
      </c>
      <c r="J900" s="73" t="s">
        <v>270</v>
      </c>
      <c r="K900" s="4">
        <v>2365708</v>
      </c>
      <c r="L900" s="41">
        <v>95.287000000000006</v>
      </c>
      <c r="M900" s="4">
        <v>2208886</v>
      </c>
      <c r="N900" s="4">
        <v>2318145</v>
      </c>
      <c r="O900" s="4">
        <v>2350308</v>
      </c>
      <c r="P900" s="4">
        <v>0</v>
      </c>
      <c r="Q900" s="4">
        <v>-7213</v>
      </c>
      <c r="R900" s="4">
        <v>0</v>
      </c>
      <c r="S900" s="4">
        <v>0</v>
      </c>
      <c r="T900" s="23">
        <v>4</v>
      </c>
      <c r="U900" s="23">
        <v>3.3860000000000001</v>
      </c>
      <c r="V900" s="5" t="s">
        <v>398</v>
      </c>
      <c r="W900" s="4">
        <v>1545</v>
      </c>
      <c r="X900" s="4">
        <v>92726</v>
      </c>
      <c r="Y900" s="14">
        <v>44131</v>
      </c>
      <c r="Z900" s="14">
        <v>48269</v>
      </c>
      <c r="AA900" s="2"/>
      <c r="AB900" s="69" t="s">
        <v>3892</v>
      </c>
      <c r="AC900" s="5" t="s">
        <v>7</v>
      </c>
      <c r="AD900" s="84" t="s">
        <v>1921</v>
      </c>
      <c r="AE900" s="14">
        <v>45863</v>
      </c>
      <c r="AF900" s="23">
        <v>100</v>
      </c>
      <c r="AG900" s="14">
        <v>46532</v>
      </c>
      <c r="AH900" s="5" t="s">
        <v>2</v>
      </c>
      <c r="AI900" s="5" t="s">
        <v>4070</v>
      </c>
      <c r="AJ900" s="5" t="s">
        <v>824</v>
      </c>
      <c r="AK900" s="21" t="s">
        <v>2</v>
      </c>
      <c r="AL900" s="72" t="s">
        <v>2745</v>
      </c>
      <c r="AM900" s="54" t="s">
        <v>4179</v>
      </c>
      <c r="AN900" s="34" t="s">
        <v>1189</v>
      </c>
    </row>
    <row r="901" spans="2:40" x14ac:dyDescent="0.3">
      <c r="B901" s="18" t="s">
        <v>2142</v>
      </c>
      <c r="C901" s="47" t="s">
        <v>4071</v>
      </c>
      <c r="D901" s="15" t="s">
        <v>414</v>
      </c>
      <c r="E901" s="68" t="s">
        <v>2</v>
      </c>
      <c r="F901" s="55" t="s">
        <v>2</v>
      </c>
      <c r="G901" s="40" t="s">
        <v>3894</v>
      </c>
      <c r="H901" s="71" t="s">
        <v>2745</v>
      </c>
      <c r="I901" s="67" t="s">
        <v>3408</v>
      </c>
      <c r="J901" s="73" t="s">
        <v>270</v>
      </c>
      <c r="K901" s="4">
        <v>2707908</v>
      </c>
      <c r="L901" s="41">
        <v>93.442999999999998</v>
      </c>
      <c r="M901" s="4">
        <v>2513268</v>
      </c>
      <c r="N901" s="4">
        <v>2689630</v>
      </c>
      <c r="O901" s="4">
        <v>2702222</v>
      </c>
      <c r="P901" s="4">
        <v>0</v>
      </c>
      <c r="Q901" s="4">
        <v>-2346</v>
      </c>
      <c r="R901" s="4">
        <v>0</v>
      </c>
      <c r="S901" s="4">
        <v>0</v>
      </c>
      <c r="T901" s="23">
        <v>2.34</v>
      </c>
      <c r="U901" s="23">
        <v>2.1739999999999999</v>
      </c>
      <c r="V901" s="5" t="s">
        <v>398</v>
      </c>
      <c r="W901" s="4">
        <v>1049</v>
      </c>
      <c r="X901" s="4">
        <v>62937</v>
      </c>
      <c r="Y901" s="14">
        <v>44027</v>
      </c>
      <c r="Z901" s="14">
        <v>48785</v>
      </c>
      <c r="AA901" s="2"/>
      <c r="AB901" s="69" t="s">
        <v>3892</v>
      </c>
      <c r="AC901" s="5" t="s">
        <v>7</v>
      </c>
      <c r="AD901" s="84" t="s">
        <v>1921</v>
      </c>
      <c r="AE901" s="14">
        <v>46167</v>
      </c>
      <c r="AF901" s="23">
        <v>100</v>
      </c>
      <c r="AG901" s="14">
        <v>46868</v>
      </c>
      <c r="AH901" s="5" t="s">
        <v>2</v>
      </c>
      <c r="AI901" s="5" t="s">
        <v>4072</v>
      </c>
      <c r="AJ901" s="5" t="s">
        <v>824</v>
      </c>
      <c r="AK901" s="21" t="s">
        <v>2</v>
      </c>
      <c r="AL901" s="72" t="s">
        <v>2745</v>
      </c>
      <c r="AM901" s="54" t="s">
        <v>4179</v>
      </c>
      <c r="AN901" s="34" t="s">
        <v>2278</v>
      </c>
    </row>
    <row r="902" spans="2:40" x14ac:dyDescent="0.3">
      <c r="B902" s="18" t="s">
        <v>3279</v>
      </c>
      <c r="C902" s="47" t="s">
        <v>4073</v>
      </c>
      <c r="D902" s="15" t="s">
        <v>414</v>
      </c>
      <c r="E902" s="68" t="s">
        <v>2</v>
      </c>
      <c r="F902" s="55" t="s">
        <v>2</v>
      </c>
      <c r="G902" s="40" t="s">
        <v>3894</v>
      </c>
      <c r="H902" s="71" t="s">
        <v>2745</v>
      </c>
      <c r="I902" s="67" t="s">
        <v>287</v>
      </c>
      <c r="J902" s="73" t="s">
        <v>270</v>
      </c>
      <c r="K902" s="4">
        <v>1344680</v>
      </c>
      <c r="L902" s="41">
        <v>93.176000000000002</v>
      </c>
      <c r="M902" s="4">
        <v>1253047</v>
      </c>
      <c r="N902" s="4">
        <v>1344815</v>
      </c>
      <c r="O902" s="4">
        <v>1344709</v>
      </c>
      <c r="P902" s="4">
        <v>0</v>
      </c>
      <c r="Q902" s="4">
        <v>4</v>
      </c>
      <c r="R902" s="4">
        <v>0</v>
      </c>
      <c r="S902" s="4">
        <v>0</v>
      </c>
      <c r="T902" s="23">
        <v>2.54</v>
      </c>
      <c r="U902" s="23">
        <v>2.5550000000000002</v>
      </c>
      <c r="V902" s="5" t="s">
        <v>398</v>
      </c>
      <c r="W902" s="4">
        <v>569</v>
      </c>
      <c r="X902" s="4">
        <v>34158</v>
      </c>
      <c r="Y902" s="14">
        <v>43683</v>
      </c>
      <c r="Z902" s="14">
        <v>48785</v>
      </c>
      <c r="AA902" s="2"/>
      <c r="AB902" s="69" t="s">
        <v>3892</v>
      </c>
      <c r="AC902" s="5" t="s">
        <v>7</v>
      </c>
      <c r="AD902" s="84" t="s">
        <v>1921</v>
      </c>
      <c r="AE902" s="14">
        <v>46167</v>
      </c>
      <c r="AF902" s="23">
        <v>100</v>
      </c>
      <c r="AG902" s="14">
        <v>46868</v>
      </c>
      <c r="AH902" s="5" t="s">
        <v>2</v>
      </c>
      <c r="AI902" s="5" t="s">
        <v>4072</v>
      </c>
      <c r="AJ902" s="5" t="s">
        <v>824</v>
      </c>
      <c r="AK902" s="21" t="s">
        <v>2</v>
      </c>
      <c r="AL902" s="72" t="s">
        <v>2745</v>
      </c>
      <c r="AM902" s="54" t="s">
        <v>4179</v>
      </c>
      <c r="AN902" s="34" t="s">
        <v>819</v>
      </c>
    </row>
    <row r="903" spans="2:40" x14ac:dyDescent="0.3">
      <c r="B903" s="18" t="s">
        <v>415</v>
      </c>
      <c r="C903" s="47" t="s">
        <v>4074</v>
      </c>
      <c r="D903" s="15" t="s">
        <v>414</v>
      </c>
      <c r="E903" s="68" t="s">
        <v>2</v>
      </c>
      <c r="F903" s="55" t="s">
        <v>2</v>
      </c>
      <c r="G903" s="40" t="s">
        <v>3894</v>
      </c>
      <c r="H903" s="71" t="s">
        <v>3894</v>
      </c>
      <c r="I903" s="67" t="s">
        <v>8</v>
      </c>
      <c r="J903" s="73" t="s">
        <v>270</v>
      </c>
      <c r="K903" s="4">
        <v>1008606</v>
      </c>
      <c r="L903" s="41">
        <v>92.417000000000002</v>
      </c>
      <c r="M903" s="4">
        <v>932126</v>
      </c>
      <c r="N903" s="4">
        <v>1008611</v>
      </c>
      <c r="O903" s="4">
        <v>1008587</v>
      </c>
      <c r="P903" s="4">
        <v>0</v>
      </c>
      <c r="Q903" s="4">
        <v>-8</v>
      </c>
      <c r="R903" s="4">
        <v>0</v>
      </c>
      <c r="S903" s="4">
        <v>0</v>
      </c>
      <c r="T903" s="23">
        <v>2.84</v>
      </c>
      <c r="U903" s="23">
        <v>2.8559999999999999</v>
      </c>
      <c r="V903" s="5" t="s">
        <v>398</v>
      </c>
      <c r="W903" s="4">
        <v>477</v>
      </c>
      <c r="X903" s="4">
        <v>28645</v>
      </c>
      <c r="Y903" s="14">
        <v>43683</v>
      </c>
      <c r="Z903" s="14">
        <v>48785</v>
      </c>
      <c r="AA903" s="2"/>
      <c r="AB903" s="69" t="s">
        <v>3892</v>
      </c>
      <c r="AC903" s="5" t="s">
        <v>7</v>
      </c>
      <c r="AD903" s="84" t="s">
        <v>1921</v>
      </c>
      <c r="AE903" s="14">
        <v>46167</v>
      </c>
      <c r="AF903" s="23">
        <v>100</v>
      </c>
      <c r="AG903" s="14">
        <v>46868</v>
      </c>
      <c r="AH903" s="5" t="s">
        <v>2</v>
      </c>
      <c r="AI903" s="5" t="s">
        <v>4072</v>
      </c>
      <c r="AJ903" s="5" t="s">
        <v>824</v>
      </c>
      <c r="AK903" s="21" t="s">
        <v>2</v>
      </c>
      <c r="AL903" s="72" t="s">
        <v>2745</v>
      </c>
      <c r="AM903" s="54" t="s">
        <v>4179</v>
      </c>
      <c r="AN903" s="34" t="s">
        <v>1189</v>
      </c>
    </row>
    <row r="904" spans="2:40" x14ac:dyDescent="0.3">
      <c r="B904" s="18" t="s">
        <v>1533</v>
      </c>
      <c r="C904" s="47" t="s">
        <v>1319</v>
      </c>
      <c r="D904" s="15" t="s">
        <v>3790</v>
      </c>
      <c r="E904" s="68" t="s">
        <v>2</v>
      </c>
      <c r="F904" s="55" t="s">
        <v>2</v>
      </c>
      <c r="G904" s="40" t="s">
        <v>3894</v>
      </c>
      <c r="H904" s="71" t="s">
        <v>2745</v>
      </c>
      <c r="I904" s="67" t="s">
        <v>3408</v>
      </c>
      <c r="J904" s="73" t="s">
        <v>270</v>
      </c>
      <c r="K904" s="4">
        <v>1385999</v>
      </c>
      <c r="L904" s="41">
        <v>94.01</v>
      </c>
      <c r="M904" s="4">
        <v>1263496</v>
      </c>
      <c r="N904" s="4">
        <v>1343999</v>
      </c>
      <c r="O904" s="4">
        <v>1374180</v>
      </c>
      <c r="P904" s="4">
        <v>0</v>
      </c>
      <c r="Q904" s="4">
        <v>-5469</v>
      </c>
      <c r="R904" s="4">
        <v>0</v>
      </c>
      <c r="S904" s="4">
        <v>0</v>
      </c>
      <c r="T904" s="23">
        <v>2.74</v>
      </c>
      <c r="U904" s="23">
        <v>2.0259999999999998</v>
      </c>
      <c r="V904" s="5" t="s">
        <v>398</v>
      </c>
      <c r="W904" s="4">
        <v>614</v>
      </c>
      <c r="X904" s="4">
        <v>36825</v>
      </c>
      <c r="Y904" s="14">
        <v>44035</v>
      </c>
      <c r="Z904" s="14">
        <v>50826</v>
      </c>
      <c r="AA904" s="2"/>
      <c r="AB904" s="69" t="s">
        <v>3892</v>
      </c>
      <c r="AC904" s="5" t="s">
        <v>7</v>
      </c>
      <c r="AD904" s="84" t="s">
        <v>1921</v>
      </c>
      <c r="AE904" s="9">
        <v>46593</v>
      </c>
      <c r="AF904" s="23">
        <v>100</v>
      </c>
      <c r="AG904" s="14">
        <v>47174</v>
      </c>
      <c r="AH904" s="5" t="s">
        <v>2</v>
      </c>
      <c r="AI904" s="5" t="s">
        <v>4070</v>
      </c>
      <c r="AJ904" s="5" t="s">
        <v>824</v>
      </c>
      <c r="AK904" s="21" t="s">
        <v>2</v>
      </c>
      <c r="AL904" s="72" t="s">
        <v>2745</v>
      </c>
      <c r="AM904" s="54" t="s">
        <v>4179</v>
      </c>
      <c r="AN904" s="34" t="s">
        <v>2278</v>
      </c>
    </row>
    <row r="905" spans="2:40" x14ac:dyDescent="0.3">
      <c r="B905" s="18" t="s">
        <v>2658</v>
      </c>
      <c r="C905" s="47" t="s">
        <v>173</v>
      </c>
      <c r="D905" s="15" t="s">
        <v>1019</v>
      </c>
      <c r="E905" s="68" t="s">
        <v>2</v>
      </c>
      <c r="F905" s="55" t="s">
        <v>2</v>
      </c>
      <c r="G905" s="40" t="s">
        <v>3894</v>
      </c>
      <c r="H905" s="71" t="s">
        <v>2745</v>
      </c>
      <c r="I905" s="67" t="s">
        <v>1164</v>
      </c>
      <c r="J905" s="73" t="s">
        <v>270</v>
      </c>
      <c r="K905" s="4">
        <v>7499521</v>
      </c>
      <c r="L905" s="41">
        <v>90.213999999999999</v>
      </c>
      <c r="M905" s="4">
        <v>6766038</v>
      </c>
      <c r="N905" s="4">
        <v>7500000</v>
      </c>
      <c r="O905" s="4">
        <v>7499750</v>
      </c>
      <c r="P905" s="4">
        <v>0</v>
      </c>
      <c r="Q905" s="4">
        <v>102</v>
      </c>
      <c r="R905" s="4">
        <v>0</v>
      </c>
      <c r="S905" s="4">
        <v>0</v>
      </c>
      <c r="T905" s="23">
        <v>1.08</v>
      </c>
      <c r="U905" s="23">
        <v>1.0840000000000001</v>
      </c>
      <c r="V905" s="5" t="s">
        <v>398</v>
      </c>
      <c r="W905" s="4">
        <v>3600</v>
      </c>
      <c r="X905" s="4">
        <v>81000</v>
      </c>
      <c r="Y905" s="14">
        <v>44124</v>
      </c>
      <c r="Z905" s="14">
        <v>46736</v>
      </c>
      <c r="AA905" s="2"/>
      <c r="AB905" s="69" t="s">
        <v>3892</v>
      </c>
      <c r="AC905" s="5" t="s">
        <v>4178</v>
      </c>
      <c r="AD905" s="84" t="s">
        <v>1921</v>
      </c>
      <c r="AE905" s="9">
        <v>45672</v>
      </c>
      <c r="AF905" s="23">
        <v>100</v>
      </c>
      <c r="AG905" s="14">
        <v>45853</v>
      </c>
      <c r="AH905" s="5" t="s">
        <v>2</v>
      </c>
      <c r="AI905" s="5" t="s">
        <v>1020</v>
      </c>
      <c r="AJ905" s="5" t="s">
        <v>1020</v>
      </c>
      <c r="AK905" s="21" t="s">
        <v>2</v>
      </c>
      <c r="AL905" s="72" t="s">
        <v>2745</v>
      </c>
      <c r="AM905" s="54" t="s">
        <v>4179</v>
      </c>
      <c r="AN905" s="34" t="s">
        <v>1625</v>
      </c>
    </row>
    <row r="906" spans="2:40" x14ac:dyDescent="0.3">
      <c r="B906" s="18" t="s">
        <v>3791</v>
      </c>
      <c r="C906" s="47" t="s">
        <v>3280</v>
      </c>
      <c r="D906" s="15" t="s">
        <v>1019</v>
      </c>
      <c r="E906" s="68" t="s">
        <v>2</v>
      </c>
      <c r="F906" s="55" t="s">
        <v>2</v>
      </c>
      <c r="G906" s="40" t="s">
        <v>3894</v>
      </c>
      <c r="H906" s="71" t="s">
        <v>2745</v>
      </c>
      <c r="I906" s="67" t="s">
        <v>3660</v>
      </c>
      <c r="J906" s="73" t="s">
        <v>270</v>
      </c>
      <c r="K906" s="4">
        <v>5998687</v>
      </c>
      <c r="L906" s="41">
        <v>87.251000000000005</v>
      </c>
      <c r="M906" s="4">
        <v>5235055</v>
      </c>
      <c r="N906" s="4">
        <v>6000000</v>
      </c>
      <c r="O906" s="4">
        <v>5999102</v>
      </c>
      <c r="P906" s="4">
        <v>0</v>
      </c>
      <c r="Q906" s="4">
        <v>290</v>
      </c>
      <c r="R906" s="4">
        <v>0</v>
      </c>
      <c r="S906" s="4">
        <v>0</v>
      </c>
      <c r="T906" s="23">
        <v>1.1200000000000001</v>
      </c>
      <c r="U906" s="23">
        <v>1.1279999999999999</v>
      </c>
      <c r="V906" s="5" t="s">
        <v>398</v>
      </c>
      <c r="W906" s="4">
        <v>2987</v>
      </c>
      <c r="X906" s="4">
        <v>67200</v>
      </c>
      <c r="Y906" s="14">
        <v>44397</v>
      </c>
      <c r="Z906" s="14">
        <v>46798</v>
      </c>
      <c r="AA906" s="2"/>
      <c r="AB906" s="69" t="s">
        <v>3892</v>
      </c>
      <c r="AC906" s="5" t="s">
        <v>4178</v>
      </c>
      <c r="AD906" s="84" t="s">
        <v>1921</v>
      </c>
      <c r="AE906" s="14">
        <v>45884</v>
      </c>
      <c r="AF906" s="23">
        <v>100</v>
      </c>
      <c r="AG906" s="14">
        <v>46096</v>
      </c>
      <c r="AH906" s="5" t="s">
        <v>2</v>
      </c>
      <c r="AI906" s="5" t="s">
        <v>1020</v>
      </c>
      <c r="AJ906" s="5" t="s">
        <v>1020</v>
      </c>
      <c r="AK906" s="21" t="s">
        <v>2</v>
      </c>
      <c r="AL906" s="72" t="s">
        <v>2745</v>
      </c>
      <c r="AM906" s="54" t="s">
        <v>4179</v>
      </c>
      <c r="AN906" s="34" t="s">
        <v>1170</v>
      </c>
    </row>
    <row r="907" spans="2:40" x14ac:dyDescent="0.3">
      <c r="B907" s="18" t="s">
        <v>416</v>
      </c>
      <c r="C907" s="47" t="s">
        <v>1808</v>
      </c>
      <c r="D907" s="15" t="s">
        <v>417</v>
      </c>
      <c r="E907" s="68" t="s">
        <v>2</v>
      </c>
      <c r="F907" s="55" t="s">
        <v>2</v>
      </c>
      <c r="G907" s="40" t="s">
        <v>3894</v>
      </c>
      <c r="H907" s="71" t="s">
        <v>3894</v>
      </c>
      <c r="I907" s="67" t="s">
        <v>8</v>
      </c>
      <c r="J907" s="73" t="s">
        <v>270</v>
      </c>
      <c r="K907" s="4">
        <v>2955000</v>
      </c>
      <c r="L907" s="41">
        <v>78.373000000000005</v>
      </c>
      <c r="M907" s="4">
        <v>2315910</v>
      </c>
      <c r="N907" s="4">
        <v>2955000</v>
      </c>
      <c r="O907" s="4">
        <v>2955000</v>
      </c>
      <c r="P907" s="4">
        <v>0</v>
      </c>
      <c r="Q907" s="4">
        <v>0</v>
      </c>
      <c r="R907" s="4">
        <v>0</v>
      </c>
      <c r="S907" s="4">
        <v>0</v>
      </c>
      <c r="T907" s="23">
        <v>4.1360000000000001</v>
      </c>
      <c r="U907" s="23">
        <v>4.157</v>
      </c>
      <c r="V907" s="5" t="s">
        <v>4414</v>
      </c>
      <c r="W907" s="4">
        <v>12222</v>
      </c>
      <c r="X907" s="4">
        <v>96417</v>
      </c>
      <c r="Y907" s="14">
        <v>44594</v>
      </c>
      <c r="Z907" s="14">
        <v>55575</v>
      </c>
      <c r="AA907" s="2"/>
      <c r="AB907" s="69" t="s">
        <v>3892</v>
      </c>
      <c r="AC907" s="5" t="s">
        <v>7</v>
      </c>
      <c r="AD907" s="84" t="s">
        <v>3564</v>
      </c>
      <c r="AE907" s="14">
        <v>46808</v>
      </c>
      <c r="AF907" s="23">
        <v>100</v>
      </c>
      <c r="AG907" s="14">
        <v>48269</v>
      </c>
      <c r="AH907" s="5" t="s">
        <v>2</v>
      </c>
      <c r="AI907" s="5" t="s">
        <v>1320</v>
      </c>
      <c r="AJ907" s="5" t="s">
        <v>824</v>
      </c>
      <c r="AK907" s="21" t="s">
        <v>2</v>
      </c>
      <c r="AL907" s="72" t="s">
        <v>3894</v>
      </c>
      <c r="AM907" s="54" t="s">
        <v>4179</v>
      </c>
      <c r="AN907" s="34" t="s">
        <v>1189</v>
      </c>
    </row>
    <row r="908" spans="2:40" x14ac:dyDescent="0.3">
      <c r="B908" s="18" t="s">
        <v>1534</v>
      </c>
      <c r="C908" s="47" t="s">
        <v>4422</v>
      </c>
      <c r="D908" s="15" t="s">
        <v>2143</v>
      </c>
      <c r="E908" s="68" t="s">
        <v>2</v>
      </c>
      <c r="F908" s="55" t="s">
        <v>2</v>
      </c>
      <c r="G908" s="40" t="s">
        <v>1921</v>
      </c>
      <c r="H908" s="71" t="s">
        <v>2745</v>
      </c>
      <c r="I908" s="67" t="s">
        <v>287</v>
      </c>
      <c r="J908" s="73" t="s">
        <v>270</v>
      </c>
      <c r="K908" s="4">
        <v>2987562</v>
      </c>
      <c r="L908" s="41">
        <v>96.376000000000005</v>
      </c>
      <c r="M908" s="4">
        <v>2879456</v>
      </c>
      <c r="N908" s="4">
        <v>2987742</v>
      </c>
      <c r="O908" s="4">
        <v>2987700</v>
      </c>
      <c r="P908" s="4">
        <v>0</v>
      </c>
      <c r="Q908" s="4">
        <v>19</v>
      </c>
      <c r="R908" s="4">
        <v>0</v>
      </c>
      <c r="S908" s="4">
        <v>0</v>
      </c>
      <c r="T908" s="23">
        <v>2.98</v>
      </c>
      <c r="U908" s="23">
        <v>3</v>
      </c>
      <c r="V908" s="5" t="s">
        <v>398</v>
      </c>
      <c r="W908" s="4">
        <v>3957</v>
      </c>
      <c r="X908" s="4">
        <v>89035</v>
      </c>
      <c r="Y908" s="14">
        <v>42277</v>
      </c>
      <c r="Z908" s="14">
        <v>52977</v>
      </c>
      <c r="AA908" s="2"/>
      <c r="AB908" s="69" t="s">
        <v>3892</v>
      </c>
      <c r="AC908" s="5" t="s">
        <v>7</v>
      </c>
      <c r="AD908" s="84" t="s">
        <v>161</v>
      </c>
      <c r="AE908" s="10"/>
      <c r="AF908" s="23"/>
      <c r="AG908" s="14">
        <v>45672</v>
      </c>
      <c r="AH908" s="5" t="s">
        <v>2</v>
      </c>
      <c r="AI908" s="5" t="s">
        <v>2143</v>
      </c>
      <c r="AJ908" s="5" t="s">
        <v>2</v>
      </c>
      <c r="AK908" s="21" t="s">
        <v>2</v>
      </c>
      <c r="AL908" s="72" t="s">
        <v>2745</v>
      </c>
      <c r="AM908" s="54" t="s">
        <v>4179</v>
      </c>
      <c r="AN908" s="34" t="s">
        <v>819</v>
      </c>
    </row>
    <row r="909" spans="2:40" x14ac:dyDescent="0.3">
      <c r="B909" s="18" t="s">
        <v>2659</v>
      </c>
      <c r="C909" s="47" t="s">
        <v>4423</v>
      </c>
      <c r="D909" s="15" t="s">
        <v>2660</v>
      </c>
      <c r="E909" s="68" t="s">
        <v>2</v>
      </c>
      <c r="F909" s="55" t="s">
        <v>2</v>
      </c>
      <c r="G909" s="40" t="s">
        <v>3894</v>
      </c>
      <c r="H909" s="71" t="s">
        <v>2745</v>
      </c>
      <c r="I909" s="67" t="s">
        <v>3408</v>
      </c>
      <c r="J909" s="73" t="s">
        <v>270</v>
      </c>
      <c r="K909" s="4">
        <v>8996958</v>
      </c>
      <c r="L909" s="41">
        <v>91.364999999999995</v>
      </c>
      <c r="M909" s="4">
        <v>8222873</v>
      </c>
      <c r="N909" s="4">
        <v>9000000</v>
      </c>
      <c r="O909" s="4">
        <v>8998367</v>
      </c>
      <c r="P909" s="4">
        <v>0</v>
      </c>
      <c r="Q909" s="4">
        <v>401</v>
      </c>
      <c r="R909" s="4">
        <v>0</v>
      </c>
      <c r="S909" s="4">
        <v>0</v>
      </c>
      <c r="T909" s="23">
        <v>2.29</v>
      </c>
      <c r="U909" s="23">
        <v>2.306</v>
      </c>
      <c r="V909" s="5" t="s">
        <v>398</v>
      </c>
      <c r="W909" s="4">
        <v>10878</v>
      </c>
      <c r="X909" s="4">
        <v>206100</v>
      </c>
      <c r="Y909" s="14">
        <v>43718</v>
      </c>
      <c r="Z909" s="14">
        <v>51817</v>
      </c>
      <c r="AA909" s="2"/>
      <c r="AB909" s="69" t="s">
        <v>3892</v>
      </c>
      <c r="AC909" s="5" t="s">
        <v>7</v>
      </c>
      <c r="AD909" s="84" t="s">
        <v>4179</v>
      </c>
      <c r="AE909" s="14">
        <v>46550</v>
      </c>
      <c r="AF909" s="23">
        <v>100</v>
      </c>
      <c r="AG909" s="14">
        <v>46246</v>
      </c>
      <c r="AH909" s="5" t="s">
        <v>2</v>
      </c>
      <c r="AI909" s="5" t="s">
        <v>418</v>
      </c>
      <c r="AJ909" s="5" t="s">
        <v>824</v>
      </c>
      <c r="AK909" s="21" t="s">
        <v>2</v>
      </c>
      <c r="AL909" s="72" t="s">
        <v>2745</v>
      </c>
      <c r="AM909" s="54" t="s">
        <v>4179</v>
      </c>
      <c r="AN909" s="34" t="s">
        <v>2278</v>
      </c>
    </row>
    <row r="910" spans="2:40" x14ac:dyDescent="0.3">
      <c r="B910" s="18" t="s">
        <v>3792</v>
      </c>
      <c r="C910" s="47" t="s">
        <v>1535</v>
      </c>
      <c r="D910" s="15" t="s">
        <v>2660</v>
      </c>
      <c r="E910" s="68" t="s">
        <v>2</v>
      </c>
      <c r="F910" s="55" t="s">
        <v>2</v>
      </c>
      <c r="G910" s="40" t="s">
        <v>2</v>
      </c>
      <c r="H910" s="71" t="s">
        <v>2745</v>
      </c>
      <c r="I910" s="67" t="s">
        <v>3408</v>
      </c>
      <c r="J910" s="73" t="s">
        <v>270</v>
      </c>
      <c r="K910" s="4">
        <v>9998542</v>
      </c>
      <c r="L910" s="41">
        <v>94.233999999999995</v>
      </c>
      <c r="M910" s="4">
        <v>9423362</v>
      </c>
      <c r="N910" s="4">
        <v>10000000</v>
      </c>
      <c r="O910" s="4">
        <v>9998715</v>
      </c>
      <c r="P910" s="4">
        <v>0</v>
      </c>
      <c r="Q910" s="4">
        <v>173</v>
      </c>
      <c r="R910" s="4">
        <v>0</v>
      </c>
      <c r="S910" s="4">
        <v>0</v>
      </c>
      <c r="T910" s="23">
        <v>3.32</v>
      </c>
      <c r="U910" s="23">
        <v>3.3460000000000001</v>
      </c>
      <c r="V910" s="5" t="s">
        <v>398</v>
      </c>
      <c r="W910" s="4">
        <v>16600</v>
      </c>
      <c r="X910" s="4">
        <v>221333</v>
      </c>
      <c r="Y910" s="14">
        <v>44655</v>
      </c>
      <c r="Z910" s="14">
        <v>52761</v>
      </c>
      <c r="AA910" s="2"/>
      <c r="AB910" s="69" t="s">
        <v>3892</v>
      </c>
      <c r="AC910" s="5" t="s">
        <v>7</v>
      </c>
      <c r="AD910" s="84" t="s">
        <v>4179</v>
      </c>
      <c r="AE910" s="10"/>
      <c r="AF910" s="23"/>
      <c r="AG910" s="14">
        <v>46917</v>
      </c>
      <c r="AH910" s="5" t="s">
        <v>2</v>
      </c>
      <c r="AI910" s="5" t="s">
        <v>418</v>
      </c>
      <c r="AJ910" s="5" t="s">
        <v>824</v>
      </c>
      <c r="AK910" s="21" t="s">
        <v>2</v>
      </c>
      <c r="AL910" s="72" t="s">
        <v>3894</v>
      </c>
      <c r="AM910" s="54" t="s">
        <v>4179</v>
      </c>
      <c r="AN910" s="34" t="s">
        <v>2278</v>
      </c>
    </row>
    <row r="911" spans="2:40" x14ac:dyDescent="0.3">
      <c r="B911" s="18" t="s">
        <v>672</v>
      </c>
      <c r="C911" s="47" t="s">
        <v>3793</v>
      </c>
      <c r="D911" s="15" t="s">
        <v>419</v>
      </c>
      <c r="E911" s="68" t="s">
        <v>2</v>
      </c>
      <c r="F911" s="55" t="s">
        <v>2</v>
      </c>
      <c r="G911" s="40" t="s">
        <v>2745</v>
      </c>
      <c r="H911" s="71" t="s">
        <v>2745</v>
      </c>
      <c r="I911" s="67" t="s">
        <v>3408</v>
      </c>
      <c r="J911" s="73" t="s">
        <v>270</v>
      </c>
      <c r="K911" s="4">
        <v>241719</v>
      </c>
      <c r="L911" s="41">
        <v>97.721999999999994</v>
      </c>
      <c r="M911" s="4">
        <v>231227</v>
      </c>
      <c r="N911" s="4">
        <v>236617</v>
      </c>
      <c r="O911" s="4">
        <v>239929</v>
      </c>
      <c r="P911" s="4">
        <v>0</v>
      </c>
      <c r="Q911" s="4">
        <v>-891</v>
      </c>
      <c r="R911" s="4">
        <v>0</v>
      </c>
      <c r="S911" s="4">
        <v>0</v>
      </c>
      <c r="T911" s="23">
        <v>2.42</v>
      </c>
      <c r="U911" s="23">
        <v>1.728</v>
      </c>
      <c r="V911" s="5" t="s">
        <v>398</v>
      </c>
      <c r="W911" s="4">
        <v>175</v>
      </c>
      <c r="X911" s="4">
        <v>5726</v>
      </c>
      <c r="Y911" s="14">
        <v>44166</v>
      </c>
      <c r="Z911" s="14">
        <v>49298</v>
      </c>
      <c r="AA911" s="2"/>
      <c r="AB911" s="69" t="s">
        <v>3892</v>
      </c>
      <c r="AC911" s="5" t="s">
        <v>7</v>
      </c>
      <c r="AD911" s="84" t="s">
        <v>1921</v>
      </c>
      <c r="AE911" s="9">
        <v>45127</v>
      </c>
      <c r="AF911" s="23">
        <v>100</v>
      </c>
      <c r="AG911" s="14">
        <v>46346</v>
      </c>
      <c r="AH911" s="5" t="s">
        <v>2</v>
      </c>
      <c r="AI911" s="5" t="s">
        <v>1321</v>
      </c>
      <c r="AJ911" s="5" t="s">
        <v>824</v>
      </c>
      <c r="AK911" s="21" t="s">
        <v>2</v>
      </c>
      <c r="AL911" s="72" t="s">
        <v>2745</v>
      </c>
      <c r="AM911" s="54" t="s">
        <v>4179</v>
      </c>
      <c r="AN911" s="34" t="s">
        <v>2278</v>
      </c>
    </row>
    <row r="912" spans="2:40" x14ac:dyDescent="0.3">
      <c r="B912" s="18" t="s">
        <v>1809</v>
      </c>
      <c r="C912" s="47" t="s">
        <v>3794</v>
      </c>
      <c r="D912" s="15" t="s">
        <v>419</v>
      </c>
      <c r="E912" s="68" t="s">
        <v>2</v>
      </c>
      <c r="F912" s="55" t="s">
        <v>2</v>
      </c>
      <c r="G912" s="40" t="s">
        <v>3894</v>
      </c>
      <c r="H912" s="71" t="s">
        <v>2745</v>
      </c>
      <c r="I912" s="67" t="s">
        <v>287</v>
      </c>
      <c r="J912" s="73" t="s">
        <v>270</v>
      </c>
      <c r="K912" s="4">
        <v>945823</v>
      </c>
      <c r="L912" s="41">
        <v>96.591999999999999</v>
      </c>
      <c r="M912" s="4">
        <v>903983</v>
      </c>
      <c r="N912" s="4">
        <v>935879</v>
      </c>
      <c r="O912" s="4">
        <v>941998</v>
      </c>
      <c r="P912" s="4">
        <v>0</v>
      </c>
      <c r="Q912" s="4">
        <v>-1643</v>
      </c>
      <c r="R912" s="4">
        <v>0</v>
      </c>
      <c r="S912" s="4">
        <v>0</v>
      </c>
      <c r="T912" s="23">
        <v>2.75</v>
      </c>
      <c r="U912" s="23">
        <v>2.4329999999999998</v>
      </c>
      <c r="V912" s="5" t="s">
        <v>398</v>
      </c>
      <c r="W912" s="4">
        <v>786</v>
      </c>
      <c r="X912" s="4">
        <v>25737</v>
      </c>
      <c r="Y912" s="14">
        <v>44036</v>
      </c>
      <c r="Z912" s="14">
        <v>49298</v>
      </c>
      <c r="AA912" s="2"/>
      <c r="AB912" s="69" t="s">
        <v>3892</v>
      </c>
      <c r="AC912" s="5" t="s">
        <v>7</v>
      </c>
      <c r="AD912" s="84" t="s">
        <v>1921</v>
      </c>
      <c r="AE912" s="14">
        <v>45189</v>
      </c>
      <c r="AF912" s="23">
        <v>100</v>
      </c>
      <c r="AG912" s="14">
        <v>46346</v>
      </c>
      <c r="AH912" s="5" t="s">
        <v>2</v>
      </c>
      <c r="AI912" s="5" t="s">
        <v>1321</v>
      </c>
      <c r="AJ912" s="5" t="s">
        <v>824</v>
      </c>
      <c r="AK912" s="21" t="s">
        <v>2</v>
      </c>
      <c r="AL912" s="72" t="s">
        <v>2745</v>
      </c>
      <c r="AM912" s="54" t="s">
        <v>4179</v>
      </c>
      <c r="AN912" s="34" t="s">
        <v>819</v>
      </c>
    </row>
    <row r="913" spans="2:40" x14ac:dyDescent="0.3">
      <c r="B913" s="18" t="s">
        <v>3795</v>
      </c>
      <c r="C913" s="47" t="s">
        <v>3796</v>
      </c>
      <c r="D913" s="15" t="s">
        <v>3797</v>
      </c>
      <c r="E913" s="68" t="s">
        <v>2</v>
      </c>
      <c r="F913" s="55" t="s">
        <v>2</v>
      </c>
      <c r="G913" s="40" t="s">
        <v>3894</v>
      </c>
      <c r="H913" s="71" t="s">
        <v>2745</v>
      </c>
      <c r="I913" s="67" t="s">
        <v>287</v>
      </c>
      <c r="J913" s="73" t="s">
        <v>270</v>
      </c>
      <c r="K913" s="4">
        <v>1530586</v>
      </c>
      <c r="L913" s="41">
        <v>93.861000000000004</v>
      </c>
      <c r="M913" s="4">
        <v>1437012</v>
      </c>
      <c r="N913" s="4">
        <v>1531002</v>
      </c>
      <c r="O913" s="4">
        <v>1530727</v>
      </c>
      <c r="P913" s="4">
        <v>0</v>
      </c>
      <c r="Q913" s="4">
        <v>34</v>
      </c>
      <c r="R913" s="4">
        <v>0</v>
      </c>
      <c r="S913" s="4">
        <v>0</v>
      </c>
      <c r="T913" s="23">
        <v>3</v>
      </c>
      <c r="U913" s="23">
        <v>3.024</v>
      </c>
      <c r="V913" s="5" t="s">
        <v>398</v>
      </c>
      <c r="W913" s="4">
        <v>1403</v>
      </c>
      <c r="X913" s="4">
        <v>45930</v>
      </c>
      <c r="Y913" s="14">
        <v>43599</v>
      </c>
      <c r="Z913" s="14">
        <v>49999</v>
      </c>
      <c r="AA913" s="2"/>
      <c r="AB913" s="69" t="s">
        <v>3892</v>
      </c>
      <c r="AC913" s="5" t="s">
        <v>7</v>
      </c>
      <c r="AD913" s="84" t="s">
        <v>1921</v>
      </c>
      <c r="AE913" s="14">
        <v>46466</v>
      </c>
      <c r="AF913" s="23">
        <v>100</v>
      </c>
      <c r="AG913" s="14">
        <v>47046</v>
      </c>
      <c r="AH913" s="5" t="s">
        <v>2</v>
      </c>
      <c r="AI913" s="5" t="s">
        <v>420</v>
      </c>
      <c r="AJ913" s="5" t="s">
        <v>824</v>
      </c>
      <c r="AK913" s="21" t="s">
        <v>2</v>
      </c>
      <c r="AL913" s="72" t="s">
        <v>2745</v>
      </c>
      <c r="AM913" s="54" t="s">
        <v>4179</v>
      </c>
      <c r="AN913" s="34" t="s">
        <v>819</v>
      </c>
    </row>
    <row r="914" spans="2:40" x14ac:dyDescent="0.3">
      <c r="B914" s="18" t="s">
        <v>421</v>
      </c>
      <c r="C914" s="47" t="s">
        <v>3798</v>
      </c>
      <c r="D914" s="15" t="s">
        <v>3797</v>
      </c>
      <c r="E914" s="68" t="s">
        <v>2</v>
      </c>
      <c r="F914" s="55" t="s">
        <v>2</v>
      </c>
      <c r="G914" s="40" t="s">
        <v>3894</v>
      </c>
      <c r="H914" s="71" t="s">
        <v>3894</v>
      </c>
      <c r="I914" s="67" t="s">
        <v>8</v>
      </c>
      <c r="J914" s="73" t="s">
        <v>270</v>
      </c>
      <c r="K914" s="4">
        <v>765402</v>
      </c>
      <c r="L914" s="41">
        <v>92.477000000000004</v>
      </c>
      <c r="M914" s="4">
        <v>707912</v>
      </c>
      <c r="N914" s="4">
        <v>765501</v>
      </c>
      <c r="O914" s="4">
        <v>765430</v>
      </c>
      <c r="P914" s="4">
        <v>0</v>
      </c>
      <c r="Q914" s="4">
        <v>6</v>
      </c>
      <c r="R914" s="4">
        <v>0</v>
      </c>
      <c r="S914" s="4">
        <v>0</v>
      </c>
      <c r="T914" s="23">
        <v>3.33</v>
      </c>
      <c r="U914" s="23">
        <v>3.355</v>
      </c>
      <c r="V914" s="5" t="s">
        <v>398</v>
      </c>
      <c r="W914" s="4">
        <v>779</v>
      </c>
      <c r="X914" s="4">
        <v>25491</v>
      </c>
      <c r="Y914" s="14">
        <v>43599</v>
      </c>
      <c r="Z914" s="14">
        <v>49999</v>
      </c>
      <c r="AA914" s="2"/>
      <c r="AB914" s="69" t="s">
        <v>3892</v>
      </c>
      <c r="AC914" s="5" t="s">
        <v>7</v>
      </c>
      <c r="AD914" s="84" t="s">
        <v>1921</v>
      </c>
      <c r="AE914" s="9">
        <v>46466</v>
      </c>
      <c r="AF914" s="23">
        <v>100</v>
      </c>
      <c r="AG914" s="14">
        <v>47046</v>
      </c>
      <c r="AH914" s="5" t="s">
        <v>2</v>
      </c>
      <c r="AI914" s="5" t="s">
        <v>420</v>
      </c>
      <c r="AJ914" s="5" t="s">
        <v>824</v>
      </c>
      <c r="AK914" s="21" t="s">
        <v>2</v>
      </c>
      <c r="AL914" s="72" t="s">
        <v>2745</v>
      </c>
      <c r="AM914" s="54" t="s">
        <v>4179</v>
      </c>
      <c r="AN914" s="34" t="s">
        <v>1189</v>
      </c>
    </row>
    <row r="915" spans="2:40" x14ac:dyDescent="0.3">
      <c r="B915" s="18" t="s">
        <v>1536</v>
      </c>
      <c r="C915" s="47" t="s">
        <v>2931</v>
      </c>
      <c r="D915" s="15" t="s">
        <v>3281</v>
      </c>
      <c r="E915" s="68" t="s">
        <v>2</v>
      </c>
      <c r="F915" s="55" t="s">
        <v>2</v>
      </c>
      <c r="G915" s="40" t="s">
        <v>3894</v>
      </c>
      <c r="H915" s="71" t="s">
        <v>2745</v>
      </c>
      <c r="I915" s="67" t="s">
        <v>287</v>
      </c>
      <c r="J915" s="73" t="s">
        <v>270</v>
      </c>
      <c r="K915" s="4">
        <v>2413317</v>
      </c>
      <c r="L915" s="41">
        <v>90.578000000000003</v>
      </c>
      <c r="M915" s="4">
        <v>2186394</v>
      </c>
      <c r="N915" s="4">
        <v>2413838</v>
      </c>
      <c r="O915" s="4">
        <v>2413420</v>
      </c>
      <c r="P915" s="4">
        <v>0</v>
      </c>
      <c r="Q915" s="4">
        <v>57</v>
      </c>
      <c r="R915" s="4">
        <v>0</v>
      </c>
      <c r="S915" s="4">
        <v>0</v>
      </c>
      <c r="T915" s="23">
        <v>1.44</v>
      </c>
      <c r="U915" s="23">
        <v>1.4490000000000001</v>
      </c>
      <c r="V915" s="5" t="s">
        <v>398</v>
      </c>
      <c r="W915" s="4">
        <v>1062</v>
      </c>
      <c r="X915" s="4">
        <v>34759</v>
      </c>
      <c r="Y915" s="14">
        <v>44326</v>
      </c>
      <c r="Z915" s="14">
        <v>51523</v>
      </c>
      <c r="AA915" s="2"/>
      <c r="AB915" s="69" t="s">
        <v>3892</v>
      </c>
      <c r="AC915" s="5" t="s">
        <v>7</v>
      </c>
      <c r="AD915" s="84" t="s">
        <v>1921</v>
      </c>
      <c r="AE915" s="14">
        <v>47138</v>
      </c>
      <c r="AF915" s="23">
        <v>100</v>
      </c>
      <c r="AG915" s="14">
        <v>47593</v>
      </c>
      <c r="AH915" s="5" t="s">
        <v>2</v>
      </c>
      <c r="AI915" s="5" t="s">
        <v>673</v>
      </c>
      <c r="AJ915" s="5" t="s">
        <v>824</v>
      </c>
      <c r="AK915" s="21" t="s">
        <v>2</v>
      </c>
      <c r="AL915" s="72" t="s">
        <v>2745</v>
      </c>
      <c r="AM915" s="54" t="s">
        <v>4179</v>
      </c>
      <c r="AN915" s="34" t="s">
        <v>819</v>
      </c>
    </row>
    <row r="916" spans="2:40" x14ac:dyDescent="0.3">
      <c r="B916" s="18" t="s">
        <v>2661</v>
      </c>
      <c r="C916" s="47" t="s">
        <v>2932</v>
      </c>
      <c r="D916" s="15" t="s">
        <v>3281</v>
      </c>
      <c r="E916" s="68" t="s">
        <v>2</v>
      </c>
      <c r="F916" s="55" t="s">
        <v>2</v>
      </c>
      <c r="G916" s="40" t="s">
        <v>3894</v>
      </c>
      <c r="H916" s="71" t="s">
        <v>3894</v>
      </c>
      <c r="I916" s="67" t="s">
        <v>8</v>
      </c>
      <c r="J916" s="73" t="s">
        <v>270</v>
      </c>
      <c r="K916" s="4">
        <v>2413596</v>
      </c>
      <c r="L916" s="41">
        <v>89.793000000000006</v>
      </c>
      <c r="M916" s="4">
        <v>2167461</v>
      </c>
      <c r="N916" s="4">
        <v>2413838</v>
      </c>
      <c r="O916" s="4">
        <v>2413647</v>
      </c>
      <c r="P916" s="4">
        <v>0</v>
      </c>
      <c r="Q916" s="4">
        <v>25</v>
      </c>
      <c r="R916" s="4">
        <v>0</v>
      </c>
      <c r="S916" s="4">
        <v>0</v>
      </c>
      <c r="T916" s="23">
        <v>1.94</v>
      </c>
      <c r="U916" s="23">
        <v>1.95</v>
      </c>
      <c r="V916" s="5" t="s">
        <v>398</v>
      </c>
      <c r="W916" s="4">
        <v>1431</v>
      </c>
      <c r="X916" s="4">
        <v>46828</v>
      </c>
      <c r="Y916" s="14">
        <v>44326</v>
      </c>
      <c r="Z916" s="14">
        <v>51523</v>
      </c>
      <c r="AA916" s="2"/>
      <c r="AB916" s="69" t="s">
        <v>3892</v>
      </c>
      <c r="AC916" s="5" t="s">
        <v>7</v>
      </c>
      <c r="AD916" s="84" t="s">
        <v>1921</v>
      </c>
      <c r="AE916" s="9">
        <v>47138</v>
      </c>
      <c r="AF916" s="23">
        <v>100</v>
      </c>
      <c r="AG916" s="14">
        <v>47593</v>
      </c>
      <c r="AH916" s="5" t="s">
        <v>2</v>
      </c>
      <c r="AI916" s="5" t="s">
        <v>673</v>
      </c>
      <c r="AJ916" s="5" t="s">
        <v>824</v>
      </c>
      <c r="AK916" s="21" t="s">
        <v>2</v>
      </c>
      <c r="AL916" s="72" t="s">
        <v>2745</v>
      </c>
      <c r="AM916" s="54" t="s">
        <v>4179</v>
      </c>
      <c r="AN916" s="34" t="s">
        <v>1189</v>
      </c>
    </row>
    <row r="917" spans="2:40" x14ac:dyDescent="0.3">
      <c r="B917" s="18" t="s">
        <v>3799</v>
      </c>
      <c r="C917" s="47" t="s">
        <v>2662</v>
      </c>
      <c r="D917" s="15" t="s">
        <v>1537</v>
      </c>
      <c r="E917" s="68" t="s">
        <v>2</v>
      </c>
      <c r="F917" s="55" t="s">
        <v>2</v>
      </c>
      <c r="G917" s="40" t="s">
        <v>3894</v>
      </c>
      <c r="H917" s="71" t="s">
        <v>2745</v>
      </c>
      <c r="I917" s="67" t="s">
        <v>3408</v>
      </c>
      <c r="J917" s="73" t="s">
        <v>270</v>
      </c>
      <c r="K917" s="4">
        <v>6621817</v>
      </c>
      <c r="L917" s="41">
        <v>94.418000000000006</v>
      </c>
      <c r="M917" s="4">
        <v>6191248</v>
      </c>
      <c r="N917" s="4">
        <v>6557304</v>
      </c>
      <c r="O917" s="4">
        <v>6603165</v>
      </c>
      <c r="P917" s="4">
        <v>0</v>
      </c>
      <c r="Q917" s="4">
        <v>-7903</v>
      </c>
      <c r="R917" s="4">
        <v>0</v>
      </c>
      <c r="S917" s="4">
        <v>0</v>
      </c>
      <c r="T917" s="23">
        <v>2.2200000000000002</v>
      </c>
      <c r="U917" s="23">
        <v>2.0059999999999998</v>
      </c>
      <c r="V917" s="5" t="s">
        <v>398</v>
      </c>
      <c r="W917" s="4">
        <v>4448</v>
      </c>
      <c r="X917" s="4">
        <v>145572</v>
      </c>
      <c r="Y917" s="14">
        <v>44166</v>
      </c>
      <c r="Z917" s="14">
        <v>50698</v>
      </c>
      <c r="AA917" s="2"/>
      <c r="AB917" s="69" t="s">
        <v>3892</v>
      </c>
      <c r="AC917" s="5" t="s">
        <v>7</v>
      </c>
      <c r="AD917" s="84" t="s">
        <v>1921</v>
      </c>
      <c r="AE917" s="14">
        <v>46315</v>
      </c>
      <c r="AF917" s="23">
        <v>100</v>
      </c>
      <c r="AG917" s="14">
        <v>47169</v>
      </c>
      <c r="AH917" s="5" t="s">
        <v>2</v>
      </c>
      <c r="AI917" s="5" t="s">
        <v>4075</v>
      </c>
      <c r="AJ917" s="5" t="s">
        <v>824</v>
      </c>
      <c r="AK917" s="21" t="s">
        <v>2</v>
      </c>
      <c r="AL917" s="72" t="s">
        <v>2745</v>
      </c>
      <c r="AM917" s="54" t="s">
        <v>4179</v>
      </c>
      <c r="AN917" s="34" t="s">
        <v>2278</v>
      </c>
    </row>
    <row r="918" spans="2:40" x14ac:dyDescent="0.3">
      <c r="B918" s="18" t="s">
        <v>422</v>
      </c>
      <c r="C918" s="47" t="s">
        <v>2443</v>
      </c>
      <c r="D918" s="15" t="s">
        <v>1537</v>
      </c>
      <c r="E918" s="68" t="s">
        <v>2</v>
      </c>
      <c r="F918" s="55" t="s">
        <v>2</v>
      </c>
      <c r="G918" s="40" t="s">
        <v>3894</v>
      </c>
      <c r="H918" s="71" t="s">
        <v>2745</v>
      </c>
      <c r="I918" s="67" t="s">
        <v>287</v>
      </c>
      <c r="J918" s="73" t="s">
        <v>270</v>
      </c>
      <c r="K918" s="4">
        <v>806735</v>
      </c>
      <c r="L918" s="41">
        <v>93.599000000000004</v>
      </c>
      <c r="M918" s="4">
        <v>755218</v>
      </c>
      <c r="N918" s="4">
        <v>806861</v>
      </c>
      <c r="O918" s="4">
        <v>806764</v>
      </c>
      <c r="P918" s="4">
        <v>0</v>
      </c>
      <c r="Q918" s="4">
        <v>12</v>
      </c>
      <c r="R918" s="4">
        <v>0</v>
      </c>
      <c r="S918" s="4">
        <v>0</v>
      </c>
      <c r="T918" s="23">
        <v>2.44</v>
      </c>
      <c r="U918" s="23">
        <v>2.4550000000000001</v>
      </c>
      <c r="V918" s="5" t="s">
        <v>398</v>
      </c>
      <c r="W918" s="4">
        <v>602</v>
      </c>
      <c r="X918" s="4">
        <v>19687</v>
      </c>
      <c r="Y918" s="14">
        <v>44034</v>
      </c>
      <c r="Z918" s="14">
        <v>50698</v>
      </c>
      <c r="AA918" s="2"/>
      <c r="AB918" s="69" t="s">
        <v>3892</v>
      </c>
      <c r="AC918" s="5" t="s">
        <v>7</v>
      </c>
      <c r="AD918" s="84" t="s">
        <v>1921</v>
      </c>
      <c r="AE918" s="9">
        <v>46315</v>
      </c>
      <c r="AF918" s="23">
        <v>100</v>
      </c>
      <c r="AG918" s="14">
        <v>47169</v>
      </c>
      <c r="AH918" s="5" t="s">
        <v>2</v>
      </c>
      <c r="AI918" s="5" t="s">
        <v>4075</v>
      </c>
      <c r="AJ918" s="5" t="s">
        <v>824</v>
      </c>
      <c r="AK918" s="21" t="s">
        <v>2</v>
      </c>
      <c r="AL918" s="72" t="s">
        <v>2745</v>
      </c>
      <c r="AM918" s="54" t="s">
        <v>4179</v>
      </c>
      <c r="AN918" s="34" t="s">
        <v>819</v>
      </c>
    </row>
    <row r="919" spans="2:40" x14ac:dyDescent="0.3">
      <c r="B919" s="18" t="s">
        <v>1538</v>
      </c>
      <c r="C919" s="47" t="s">
        <v>4076</v>
      </c>
      <c r="D919" s="15" t="s">
        <v>3800</v>
      </c>
      <c r="E919" s="68" t="s">
        <v>2</v>
      </c>
      <c r="F919" s="55" t="s">
        <v>2</v>
      </c>
      <c r="G919" s="40" t="s">
        <v>3894</v>
      </c>
      <c r="H919" s="71" t="s">
        <v>2745</v>
      </c>
      <c r="I919" s="67" t="s">
        <v>3408</v>
      </c>
      <c r="J919" s="73" t="s">
        <v>270</v>
      </c>
      <c r="K919" s="4">
        <v>3090916</v>
      </c>
      <c r="L919" s="41">
        <v>91.152000000000001</v>
      </c>
      <c r="M919" s="4">
        <v>2817768</v>
      </c>
      <c r="N919" s="4">
        <v>3091282</v>
      </c>
      <c r="O919" s="4">
        <v>3091014</v>
      </c>
      <c r="P919" s="4">
        <v>0</v>
      </c>
      <c r="Q919" s="4">
        <v>32</v>
      </c>
      <c r="R919" s="4">
        <v>0</v>
      </c>
      <c r="S919" s="4">
        <v>0</v>
      </c>
      <c r="T919" s="23">
        <v>1.74</v>
      </c>
      <c r="U919" s="23">
        <v>1.7490000000000001</v>
      </c>
      <c r="V919" s="5" t="s">
        <v>398</v>
      </c>
      <c r="W919" s="4">
        <v>1644</v>
      </c>
      <c r="X919" s="4">
        <v>53788</v>
      </c>
      <c r="Y919" s="14">
        <v>44025</v>
      </c>
      <c r="Z919" s="14">
        <v>50333</v>
      </c>
      <c r="AA919" s="2"/>
      <c r="AB919" s="69" t="s">
        <v>3892</v>
      </c>
      <c r="AC919" s="5" t="s">
        <v>7</v>
      </c>
      <c r="AD919" s="84" t="s">
        <v>1921</v>
      </c>
      <c r="AE919" s="9">
        <v>46832</v>
      </c>
      <c r="AF919" s="23">
        <v>100</v>
      </c>
      <c r="AG919" s="14">
        <v>47411</v>
      </c>
      <c r="AH919" s="5" t="s">
        <v>2</v>
      </c>
      <c r="AI919" s="5" t="s">
        <v>2933</v>
      </c>
      <c r="AJ919" s="5" t="s">
        <v>824</v>
      </c>
      <c r="AK919" s="21" t="s">
        <v>2</v>
      </c>
      <c r="AL919" s="72" t="s">
        <v>2745</v>
      </c>
      <c r="AM919" s="54" t="s">
        <v>4179</v>
      </c>
      <c r="AN919" s="34" t="s">
        <v>2278</v>
      </c>
    </row>
    <row r="920" spans="2:40" x14ac:dyDescent="0.3">
      <c r="B920" s="18" t="s">
        <v>2934</v>
      </c>
      <c r="C920" s="47" t="s">
        <v>3801</v>
      </c>
      <c r="D920" s="15" t="s">
        <v>3800</v>
      </c>
      <c r="E920" s="68" t="s">
        <v>2</v>
      </c>
      <c r="F920" s="55" t="s">
        <v>2</v>
      </c>
      <c r="G920" s="40" t="s">
        <v>3894</v>
      </c>
      <c r="H920" s="71" t="s">
        <v>2745</v>
      </c>
      <c r="I920" s="67" t="s">
        <v>287</v>
      </c>
      <c r="J920" s="73" t="s">
        <v>270</v>
      </c>
      <c r="K920" s="4">
        <v>772714</v>
      </c>
      <c r="L920" s="41">
        <v>91.95</v>
      </c>
      <c r="M920" s="4">
        <v>710611</v>
      </c>
      <c r="N920" s="4">
        <v>772821</v>
      </c>
      <c r="O920" s="4">
        <v>772741</v>
      </c>
      <c r="P920" s="4">
        <v>0</v>
      </c>
      <c r="Q920" s="4">
        <v>9</v>
      </c>
      <c r="R920" s="4">
        <v>0</v>
      </c>
      <c r="S920" s="4">
        <v>0</v>
      </c>
      <c r="T920" s="23">
        <v>2.73</v>
      </c>
      <c r="U920" s="23">
        <v>2.7490000000000001</v>
      </c>
      <c r="V920" s="5" t="s">
        <v>398</v>
      </c>
      <c r="W920" s="4">
        <v>645</v>
      </c>
      <c r="X920" s="4">
        <v>21098</v>
      </c>
      <c r="Y920" s="14">
        <v>44025</v>
      </c>
      <c r="Z920" s="14">
        <v>50333</v>
      </c>
      <c r="AA920" s="2"/>
      <c r="AB920" s="69" t="s">
        <v>3892</v>
      </c>
      <c r="AC920" s="5" t="s">
        <v>7</v>
      </c>
      <c r="AD920" s="84" t="s">
        <v>1921</v>
      </c>
      <c r="AE920" s="9">
        <v>46832</v>
      </c>
      <c r="AF920" s="23">
        <v>100</v>
      </c>
      <c r="AG920" s="9">
        <v>47411</v>
      </c>
      <c r="AH920" s="5" t="s">
        <v>2</v>
      </c>
      <c r="AI920" s="5" t="s">
        <v>2933</v>
      </c>
      <c r="AJ920" s="5" t="s">
        <v>824</v>
      </c>
      <c r="AK920" s="21" t="s">
        <v>2</v>
      </c>
      <c r="AL920" s="72" t="s">
        <v>2745</v>
      </c>
      <c r="AM920" s="54" t="s">
        <v>4179</v>
      </c>
      <c r="AN920" s="34" t="s">
        <v>819</v>
      </c>
    </row>
    <row r="921" spans="2:40" x14ac:dyDescent="0.3">
      <c r="B921" s="18" t="s">
        <v>4077</v>
      </c>
      <c r="C921" s="47" t="s">
        <v>3578</v>
      </c>
      <c r="D921" s="15" t="s">
        <v>3579</v>
      </c>
      <c r="E921" s="68" t="s">
        <v>2</v>
      </c>
      <c r="F921" s="55" t="s">
        <v>2</v>
      </c>
      <c r="G921" s="40" t="s">
        <v>3894</v>
      </c>
      <c r="H921" s="71" t="s">
        <v>2745</v>
      </c>
      <c r="I921" s="67" t="s">
        <v>287</v>
      </c>
      <c r="J921" s="73" t="s">
        <v>270</v>
      </c>
      <c r="K921" s="4">
        <v>9465171</v>
      </c>
      <c r="L921" s="41">
        <v>89.69</v>
      </c>
      <c r="M921" s="4">
        <v>8490843</v>
      </c>
      <c r="N921" s="4">
        <v>9466833</v>
      </c>
      <c r="O921" s="4">
        <v>9465336</v>
      </c>
      <c r="P921" s="4">
        <v>0</v>
      </c>
      <c r="Q921" s="4">
        <v>139</v>
      </c>
      <c r="R921" s="4">
        <v>0</v>
      </c>
      <c r="S921" s="4">
        <v>0</v>
      </c>
      <c r="T921" s="23">
        <v>1.83</v>
      </c>
      <c r="U921" s="23">
        <v>1.84</v>
      </c>
      <c r="V921" s="5" t="s">
        <v>398</v>
      </c>
      <c r="W921" s="4">
        <v>5294</v>
      </c>
      <c r="X921" s="4">
        <v>173724</v>
      </c>
      <c r="Y921" s="14">
        <v>44509</v>
      </c>
      <c r="Z921" s="14">
        <v>50910</v>
      </c>
      <c r="AA921" s="2"/>
      <c r="AB921" s="69" t="s">
        <v>3892</v>
      </c>
      <c r="AC921" s="5" t="s">
        <v>7</v>
      </c>
      <c r="AD921" s="84" t="s">
        <v>1921</v>
      </c>
      <c r="AE921" s="9">
        <v>47534</v>
      </c>
      <c r="AF921" s="23">
        <v>100</v>
      </c>
      <c r="AG921" s="9">
        <v>48964</v>
      </c>
      <c r="AH921" s="5" t="s">
        <v>2</v>
      </c>
      <c r="AI921" s="5" t="s">
        <v>1539</v>
      </c>
      <c r="AJ921" s="5" t="s">
        <v>824</v>
      </c>
      <c r="AK921" s="21" t="s">
        <v>2</v>
      </c>
      <c r="AL921" s="72" t="s">
        <v>2745</v>
      </c>
      <c r="AM921" s="54" t="s">
        <v>4179</v>
      </c>
      <c r="AN921" s="34" t="s">
        <v>819</v>
      </c>
    </row>
    <row r="922" spans="2:40" x14ac:dyDescent="0.3">
      <c r="B922" s="18" t="s">
        <v>674</v>
      </c>
      <c r="C922" s="47" t="s">
        <v>1540</v>
      </c>
      <c r="D922" s="15" t="s">
        <v>3579</v>
      </c>
      <c r="E922" s="68" t="s">
        <v>2</v>
      </c>
      <c r="F922" s="55" t="s">
        <v>2</v>
      </c>
      <c r="G922" s="40" t="s">
        <v>3894</v>
      </c>
      <c r="H922" s="71" t="s">
        <v>3894</v>
      </c>
      <c r="I922" s="67" t="s">
        <v>8</v>
      </c>
      <c r="J922" s="73" t="s">
        <v>270</v>
      </c>
      <c r="K922" s="4">
        <v>2193295</v>
      </c>
      <c r="L922" s="41">
        <v>88.543999999999997</v>
      </c>
      <c r="M922" s="4">
        <v>1972302</v>
      </c>
      <c r="N922" s="4">
        <v>2227490</v>
      </c>
      <c r="O922" s="4">
        <v>2196052</v>
      </c>
      <c r="P922" s="4">
        <v>0</v>
      </c>
      <c r="Q922" s="4">
        <v>2757</v>
      </c>
      <c r="R922" s="4">
        <v>0</v>
      </c>
      <c r="S922" s="4">
        <v>0</v>
      </c>
      <c r="T922" s="23">
        <v>2.23</v>
      </c>
      <c r="U922" s="23">
        <v>2.4929999999999999</v>
      </c>
      <c r="V922" s="5" t="s">
        <v>398</v>
      </c>
      <c r="W922" s="4">
        <v>1518</v>
      </c>
      <c r="X922" s="4">
        <v>45534</v>
      </c>
      <c r="Y922" s="14">
        <v>44579</v>
      </c>
      <c r="Z922" s="14">
        <v>50910</v>
      </c>
      <c r="AA922" s="2"/>
      <c r="AB922" s="69" t="s">
        <v>3892</v>
      </c>
      <c r="AC922" s="5" t="s">
        <v>7</v>
      </c>
      <c r="AD922" s="84" t="s">
        <v>1921</v>
      </c>
      <c r="AE922" s="14">
        <v>47562</v>
      </c>
      <c r="AF922" s="23">
        <v>100</v>
      </c>
      <c r="AG922" s="14">
        <v>48964</v>
      </c>
      <c r="AH922" s="5" t="s">
        <v>2</v>
      </c>
      <c r="AI922" s="5" t="s">
        <v>1539</v>
      </c>
      <c r="AJ922" s="5" t="s">
        <v>824</v>
      </c>
      <c r="AK922" s="21" t="s">
        <v>2</v>
      </c>
      <c r="AL922" s="72" t="s">
        <v>825</v>
      </c>
      <c r="AM922" s="54" t="s">
        <v>4179</v>
      </c>
      <c r="AN922" s="34" t="s">
        <v>1189</v>
      </c>
    </row>
    <row r="923" spans="2:40" x14ac:dyDescent="0.3">
      <c r="B923" s="18" t="s">
        <v>2663</v>
      </c>
      <c r="C923" s="47" t="s">
        <v>2664</v>
      </c>
      <c r="D923" s="15" t="s">
        <v>2935</v>
      </c>
      <c r="E923" s="68" t="s">
        <v>2</v>
      </c>
      <c r="F923" s="55" t="s">
        <v>2</v>
      </c>
      <c r="G923" s="40" t="s">
        <v>3894</v>
      </c>
      <c r="H923" s="71" t="s">
        <v>2745</v>
      </c>
      <c r="I923" s="67" t="s">
        <v>3408</v>
      </c>
      <c r="J923" s="73" t="s">
        <v>270</v>
      </c>
      <c r="K923" s="4">
        <v>4226293</v>
      </c>
      <c r="L923" s="41">
        <v>95.81</v>
      </c>
      <c r="M923" s="4">
        <v>4050251</v>
      </c>
      <c r="N923" s="4">
        <v>4227380</v>
      </c>
      <c r="O923" s="4">
        <v>4226358</v>
      </c>
      <c r="P923" s="4">
        <v>0</v>
      </c>
      <c r="Q923" s="4">
        <v>65</v>
      </c>
      <c r="R923" s="4">
        <v>0</v>
      </c>
      <c r="S923" s="4">
        <v>0</v>
      </c>
      <c r="T923" s="23">
        <v>4.1500000000000004</v>
      </c>
      <c r="U923" s="23">
        <v>4.1920000000000002</v>
      </c>
      <c r="V923" s="5" t="s">
        <v>398</v>
      </c>
      <c r="W923" s="4">
        <v>5361</v>
      </c>
      <c r="X923" s="4">
        <v>103800</v>
      </c>
      <c r="Y923" s="14">
        <v>44693</v>
      </c>
      <c r="Z923" s="14">
        <v>51095</v>
      </c>
      <c r="AA923" s="2"/>
      <c r="AB923" s="69" t="s">
        <v>3892</v>
      </c>
      <c r="AC923" s="5" t="s">
        <v>7</v>
      </c>
      <c r="AD923" s="84" t="s">
        <v>1921</v>
      </c>
      <c r="AE923" s="14">
        <v>47746</v>
      </c>
      <c r="AF923" s="23">
        <v>100</v>
      </c>
      <c r="AG923" s="14">
        <v>48172</v>
      </c>
      <c r="AH923" s="5" t="s">
        <v>2</v>
      </c>
      <c r="AI923" s="5" t="s">
        <v>423</v>
      </c>
      <c r="AJ923" s="5" t="s">
        <v>824</v>
      </c>
      <c r="AK923" s="21" t="s">
        <v>2</v>
      </c>
      <c r="AL923" s="72" t="s">
        <v>3894</v>
      </c>
      <c r="AM923" s="54" t="s">
        <v>4179</v>
      </c>
      <c r="AN923" s="34" t="s">
        <v>2278</v>
      </c>
    </row>
    <row r="924" spans="2:40" x14ac:dyDescent="0.3">
      <c r="B924" s="18" t="s">
        <v>3802</v>
      </c>
      <c r="C924" s="47" t="s">
        <v>675</v>
      </c>
      <c r="D924" s="15" t="s">
        <v>2935</v>
      </c>
      <c r="E924" s="68" t="s">
        <v>2</v>
      </c>
      <c r="F924" s="55" t="s">
        <v>2</v>
      </c>
      <c r="G924" s="40" t="s">
        <v>3894</v>
      </c>
      <c r="H924" s="71" t="s">
        <v>2745</v>
      </c>
      <c r="I924" s="67" t="s">
        <v>287</v>
      </c>
      <c r="J924" s="73" t="s">
        <v>270</v>
      </c>
      <c r="K924" s="4">
        <v>4226908</v>
      </c>
      <c r="L924" s="41">
        <v>95.251000000000005</v>
      </c>
      <c r="M924" s="4">
        <v>4026641</v>
      </c>
      <c r="N924" s="4">
        <v>4227380</v>
      </c>
      <c r="O924" s="4">
        <v>4226933</v>
      </c>
      <c r="P924" s="4">
        <v>0</v>
      </c>
      <c r="Q924" s="4">
        <v>24</v>
      </c>
      <c r="R924" s="4">
        <v>0</v>
      </c>
      <c r="S924" s="4">
        <v>0</v>
      </c>
      <c r="T924" s="23">
        <v>4.4000000000000004</v>
      </c>
      <c r="U924" s="23">
        <v>4.4429999999999996</v>
      </c>
      <c r="V924" s="5" t="s">
        <v>398</v>
      </c>
      <c r="W924" s="4">
        <v>5683</v>
      </c>
      <c r="X924" s="4">
        <v>110053</v>
      </c>
      <c r="Y924" s="14">
        <v>44693</v>
      </c>
      <c r="Z924" s="14">
        <v>51095</v>
      </c>
      <c r="AA924" s="2"/>
      <c r="AB924" s="69" t="s">
        <v>3892</v>
      </c>
      <c r="AC924" s="5" t="s">
        <v>7</v>
      </c>
      <c r="AD924" s="84" t="s">
        <v>1921</v>
      </c>
      <c r="AE924" s="14">
        <v>47746</v>
      </c>
      <c r="AF924" s="23">
        <v>100</v>
      </c>
      <c r="AG924" s="14">
        <v>48172</v>
      </c>
      <c r="AH924" s="5" t="s">
        <v>2</v>
      </c>
      <c r="AI924" s="5" t="s">
        <v>423</v>
      </c>
      <c r="AJ924" s="5" t="s">
        <v>824</v>
      </c>
      <c r="AK924" s="21" t="s">
        <v>2</v>
      </c>
      <c r="AL924" s="72" t="s">
        <v>825</v>
      </c>
      <c r="AM924" s="54" t="s">
        <v>4179</v>
      </c>
      <c r="AN924" s="34" t="s">
        <v>819</v>
      </c>
    </row>
    <row r="925" spans="2:40" x14ac:dyDescent="0.3">
      <c r="B925" s="18" t="s">
        <v>424</v>
      </c>
      <c r="C925" s="47" t="s">
        <v>2144</v>
      </c>
      <c r="D925" s="15" t="s">
        <v>1021</v>
      </c>
      <c r="E925" s="68" t="s">
        <v>2</v>
      </c>
      <c r="F925" s="55" t="s">
        <v>2</v>
      </c>
      <c r="G925" s="40" t="s">
        <v>3894</v>
      </c>
      <c r="H925" s="71" t="s">
        <v>2745</v>
      </c>
      <c r="I925" s="67" t="s">
        <v>287</v>
      </c>
      <c r="J925" s="73" t="s">
        <v>270</v>
      </c>
      <c r="K925" s="4">
        <v>4999420</v>
      </c>
      <c r="L925" s="41">
        <v>100.949</v>
      </c>
      <c r="M925" s="4">
        <v>5047472</v>
      </c>
      <c r="N925" s="4">
        <v>5000000</v>
      </c>
      <c r="O925" s="4">
        <v>4999477</v>
      </c>
      <c r="P925" s="4">
        <v>0</v>
      </c>
      <c r="Q925" s="4">
        <v>58</v>
      </c>
      <c r="R925" s="4">
        <v>0</v>
      </c>
      <c r="S925" s="4">
        <v>0</v>
      </c>
      <c r="T925" s="23">
        <v>6.55</v>
      </c>
      <c r="U925" s="23">
        <v>6.6420000000000003</v>
      </c>
      <c r="V925" s="5" t="s">
        <v>398</v>
      </c>
      <c r="W925" s="4">
        <v>10007</v>
      </c>
      <c r="X925" s="4">
        <v>42757</v>
      </c>
      <c r="Y925" s="14">
        <v>44859</v>
      </c>
      <c r="Z925" s="14">
        <v>51795</v>
      </c>
      <c r="AA925" s="2"/>
      <c r="AB925" s="69" t="s">
        <v>3892</v>
      </c>
      <c r="AC925" s="5" t="s">
        <v>7</v>
      </c>
      <c r="AD925" s="84" t="s">
        <v>1921</v>
      </c>
      <c r="AE925" s="14">
        <v>47837</v>
      </c>
      <c r="AF925" s="23">
        <v>100</v>
      </c>
      <c r="AG925" s="14">
        <v>49633</v>
      </c>
      <c r="AH925" s="5" t="s">
        <v>2</v>
      </c>
      <c r="AI925" s="5" t="s">
        <v>1541</v>
      </c>
      <c r="AJ925" s="5" t="s">
        <v>824</v>
      </c>
      <c r="AK925" s="21" t="s">
        <v>2</v>
      </c>
      <c r="AL925" s="72" t="s">
        <v>825</v>
      </c>
      <c r="AM925" s="54" t="s">
        <v>4179</v>
      </c>
      <c r="AN925" s="34" t="s">
        <v>819</v>
      </c>
    </row>
    <row r="926" spans="2:40" x14ac:dyDescent="0.3">
      <c r="B926" s="18" t="s">
        <v>1542</v>
      </c>
      <c r="C926" s="47" t="s">
        <v>1810</v>
      </c>
      <c r="D926" s="15" t="s">
        <v>1021</v>
      </c>
      <c r="E926" s="68" t="s">
        <v>2</v>
      </c>
      <c r="F926" s="55" t="s">
        <v>2</v>
      </c>
      <c r="G926" s="40" t="s">
        <v>3894</v>
      </c>
      <c r="H926" s="71" t="s">
        <v>3894</v>
      </c>
      <c r="I926" s="67" t="s">
        <v>8</v>
      </c>
      <c r="J926" s="73" t="s">
        <v>270</v>
      </c>
      <c r="K926" s="4">
        <v>2749780</v>
      </c>
      <c r="L926" s="41">
        <v>100.925</v>
      </c>
      <c r="M926" s="4">
        <v>2775439</v>
      </c>
      <c r="N926" s="4">
        <v>2750000</v>
      </c>
      <c r="O926" s="4">
        <v>2749819</v>
      </c>
      <c r="P926" s="4">
        <v>0</v>
      </c>
      <c r="Q926" s="4">
        <v>39</v>
      </c>
      <c r="R926" s="4">
        <v>0</v>
      </c>
      <c r="S926" s="4">
        <v>0</v>
      </c>
      <c r="T926" s="23">
        <v>7.62</v>
      </c>
      <c r="U926" s="23">
        <v>7.7430000000000003</v>
      </c>
      <c r="V926" s="5" t="s">
        <v>398</v>
      </c>
      <c r="W926" s="4">
        <v>6403</v>
      </c>
      <c r="X926" s="4">
        <v>27358</v>
      </c>
      <c r="Y926" s="14">
        <v>44859</v>
      </c>
      <c r="Z926" s="14">
        <v>51795</v>
      </c>
      <c r="AA926" s="2"/>
      <c r="AB926" s="69" t="s">
        <v>3892</v>
      </c>
      <c r="AC926" s="5" t="s">
        <v>7</v>
      </c>
      <c r="AD926" s="84" t="s">
        <v>1921</v>
      </c>
      <c r="AE926" s="9">
        <v>47837</v>
      </c>
      <c r="AF926" s="23">
        <v>100</v>
      </c>
      <c r="AG926" s="14">
        <v>49633</v>
      </c>
      <c r="AH926" s="5" t="s">
        <v>2</v>
      </c>
      <c r="AI926" s="5" t="s">
        <v>1541</v>
      </c>
      <c r="AJ926" s="5" t="s">
        <v>824</v>
      </c>
      <c r="AK926" s="21" t="s">
        <v>2</v>
      </c>
      <c r="AL926" s="72" t="s">
        <v>825</v>
      </c>
      <c r="AM926" s="54" t="s">
        <v>4179</v>
      </c>
      <c r="AN926" s="34" t="s">
        <v>1189</v>
      </c>
    </row>
    <row r="927" spans="2:40" x14ac:dyDescent="0.3">
      <c r="B927" s="18" t="s">
        <v>2665</v>
      </c>
      <c r="C927" s="47" t="s">
        <v>2444</v>
      </c>
      <c r="D927" s="15" t="s">
        <v>3803</v>
      </c>
      <c r="E927" s="68" t="s">
        <v>2</v>
      </c>
      <c r="F927" s="55" t="s">
        <v>2</v>
      </c>
      <c r="G927" s="40" t="s">
        <v>3894</v>
      </c>
      <c r="H927" s="71" t="s">
        <v>2745</v>
      </c>
      <c r="I927" s="67" t="s">
        <v>3408</v>
      </c>
      <c r="J927" s="73" t="s">
        <v>270</v>
      </c>
      <c r="K927" s="4">
        <v>3499285</v>
      </c>
      <c r="L927" s="41">
        <v>97.099000000000004</v>
      </c>
      <c r="M927" s="4">
        <v>3398461</v>
      </c>
      <c r="N927" s="4">
        <v>3500000</v>
      </c>
      <c r="O927" s="4">
        <v>3499414</v>
      </c>
      <c r="P927" s="4">
        <v>0</v>
      </c>
      <c r="Q927" s="4">
        <v>129</v>
      </c>
      <c r="R927" s="4">
        <v>0</v>
      </c>
      <c r="S927" s="4">
        <v>0</v>
      </c>
      <c r="T927" s="23">
        <v>5.0199999999999996</v>
      </c>
      <c r="U927" s="23">
        <v>5.0819999999999999</v>
      </c>
      <c r="V927" s="5" t="s">
        <v>398</v>
      </c>
      <c r="W927" s="4">
        <v>5369</v>
      </c>
      <c r="X927" s="4">
        <v>83458</v>
      </c>
      <c r="Y927" s="14">
        <v>44736</v>
      </c>
      <c r="Z927" s="14">
        <v>47381</v>
      </c>
      <c r="AA927" s="2"/>
      <c r="AB927" s="69" t="s">
        <v>3892</v>
      </c>
      <c r="AC927" s="5" t="s">
        <v>7</v>
      </c>
      <c r="AD927" s="84" t="s">
        <v>4179</v>
      </c>
      <c r="AE927" s="14">
        <v>45767</v>
      </c>
      <c r="AF927" s="23">
        <v>100</v>
      </c>
      <c r="AG927" s="14">
        <v>45767</v>
      </c>
      <c r="AH927" s="5" t="s">
        <v>2</v>
      </c>
      <c r="AI927" s="5" t="s">
        <v>4078</v>
      </c>
      <c r="AJ927" s="5" t="s">
        <v>824</v>
      </c>
      <c r="AK927" s="21" t="s">
        <v>2</v>
      </c>
      <c r="AL927" s="72" t="s">
        <v>3894</v>
      </c>
      <c r="AM927" s="54" t="s">
        <v>4179</v>
      </c>
      <c r="AN927" s="34" t="s">
        <v>2278</v>
      </c>
    </row>
    <row r="928" spans="2:40" x14ac:dyDescent="0.3">
      <c r="B928" s="18" t="s">
        <v>4079</v>
      </c>
      <c r="C928" s="47" t="s">
        <v>1811</v>
      </c>
      <c r="D928" s="15" t="s">
        <v>2660</v>
      </c>
      <c r="E928" s="68" t="s">
        <v>2</v>
      </c>
      <c r="F928" s="55" t="s">
        <v>2</v>
      </c>
      <c r="G928" s="40" t="s">
        <v>3894</v>
      </c>
      <c r="H928" s="71" t="s">
        <v>2745</v>
      </c>
      <c r="I928" s="67" t="s">
        <v>3408</v>
      </c>
      <c r="J928" s="73" t="s">
        <v>270</v>
      </c>
      <c r="K928" s="4">
        <v>12996992</v>
      </c>
      <c r="L928" s="41">
        <v>90.605000000000004</v>
      </c>
      <c r="M928" s="4">
        <v>11778710</v>
      </c>
      <c r="N928" s="4">
        <v>13000000</v>
      </c>
      <c r="O928" s="4">
        <v>12998033</v>
      </c>
      <c r="P928" s="4">
        <v>0</v>
      </c>
      <c r="Q928" s="4">
        <v>507</v>
      </c>
      <c r="R928" s="4">
        <v>0</v>
      </c>
      <c r="S928" s="4">
        <v>0</v>
      </c>
      <c r="T928" s="23">
        <v>0.85</v>
      </c>
      <c r="U928" s="23">
        <v>0.85499999999999998</v>
      </c>
      <c r="V928" s="5" t="s">
        <v>398</v>
      </c>
      <c r="W928" s="4">
        <v>5218</v>
      </c>
      <c r="X928" s="4">
        <v>110500</v>
      </c>
      <c r="Y928" s="14">
        <v>44084</v>
      </c>
      <c r="Z928" s="14">
        <v>51970</v>
      </c>
      <c r="AA928" s="2"/>
      <c r="AB928" s="69" t="s">
        <v>3892</v>
      </c>
      <c r="AC928" s="5" t="s">
        <v>7</v>
      </c>
      <c r="AD928" s="84" t="s">
        <v>4179</v>
      </c>
      <c r="AE928" s="9">
        <v>51970</v>
      </c>
      <c r="AF928" s="23">
        <v>100</v>
      </c>
      <c r="AG928" s="14">
        <v>46797</v>
      </c>
      <c r="AH928" s="5" t="s">
        <v>2</v>
      </c>
      <c r="AI928" s="5" t="s">
        <v>418</v>
      </c>
      <c r="AJ928" s="5" t="s">
        <v>824</v>
      </c>
      <c r="AK928" s="21" t="s">
        <v>2</v>
      </c>
      <c r="AL928" s="72" t="s">
        <v>2745</v>
      </c>
      <c r="AM928" s="54" t="s">
        <v>4179</v>
      </c>
      <c r="AN928" s="34" t="s">
        <v>2278</v>
      </c>
    </row>
    <row r="929" spans="2:40" x14ac:dyDescent="0.3">
      <c r="B929" s="18" t="s">
        <v>676</v>
      </c>
      <c r="C929" s="47" t="s">
        <v>425</v>
      </c>
      <c r="D929" s="15" t="s">
        <v>2660</v>
      </c>
      <c r="E929" s="68" t="s">
        <v>2</v>
      </c>
      <c r="F929" s="55" t="s">
        <v>2</v>
      </c>
      <c r="G929" s="40" t="s">
        <v>3894</v>
      </c>
      <c r="H929" s="71" t="s">
        <v>2745</v>
      </c>
      <c r="I929" s="67" t="s">
        <v>3408</v>
      </c>
      <c r="J929" s="73" t="s">
        <v>270</v>
      </c>
      <c r="K929" s="4">
        <v>3249872</v>
      </c>
      <c r="L929" s="41">
        <v>92.798000000000002</v>
      </c>
      <c r="M929" s="4">
        <v>3015947</v>
      </c>
      <c r="N929" s="4">
        <v>3250000</v>
      </c>
      <c r="O929" s="4">
        <v>3249947</v>
      </c>
      <c r="P929" s="4">
        <v>0</v>
      </c>
      <c r="Q929" s="4">
        <v>34</v>
      </c>
      <c r="R929" s="4">
        <v>0</v>
      </c>
      <c r="S929" s="4">
        <v>0</v>
      </c>
      <c r="T929" s="23">
        <v>0.97</v>
      </c>
      <c r="U929" s="23">
        <v>0.97299999999999998</v>
      </c>
      <c r="V929" s="5" t="s">
        <v>398</v>
      </c>
      <c r="W929" s="4">
        <v>1927</v>
      </c>
      <c r="X929" s="4">
        <v>31525</v>
      </c>
      <c r="Y929" s="14">
        <v>43987</v>
      </c>
      <c r="Z929" s="14">
        <v>46486</v>
      </c>
      <c r="AA929" s="2"/>
      <c r="AB929" s="69" t="s">
        <v>3892</v>
      </c>
      <c r="AC929" s="5" t="s">
        <v>7</v>
      </c>
      <c r="AD929" s="84" t="s">
        <v>4179</v>
      </c>
      <c r="AE929" s="14">
        <v>46182</v>
      </c>
      <c r="AF929" s="23">
        <v>100</v>
      </c>
      <c r="AG929" s="14">
        <v>46031</v>
      </c>
      <c r="AH929" s="5" t="s">
        <v>2</v>
      </c>
      <c r="AI929" s="5" t="s">
        <v>418</v>
      </c>
      <c r="AJ929" s="5" t="s">
        <v>824</v>
      </c>
      <c r="AK929" s="21" t="s">
        <v>2</v>
      </c>
      <c r="AL929" s="72" t="s">
        <v>2745</v>
      </c>
      <c r="AM929" s="54" t="s">
        <v>4179</v>
      </c>
      <c r="AN929" s="34" t="s">
        <v>2278</v>
      </c>
    </row>
    <row r="930" spans="2:40" x14ac:dyDescent="0.3">
      <c r="B930" s="18" t="s">
        <v>1812</v>
      </c>
      <c r="C930" s="47" t="s">
        <v>426</v>
      </c>
      <c r="D930" s="15" t="s">
        <v>677</v>
      </c>
      <c r="E930" s="68" t="s">
        <v>2</v>
      </c>
      <c r="F930" s="55" t="s">
        <v>2</v>
      </c>
      <c r="G930" s="40" t="s">
        <v>3894</v>
      </c>
      <c r="H930" s="71" t="s">
        <v>2745</v>
      </c>
      <c r="I930" s="67" t="s">
        <v>3408</v>
      </c>
      <c r="J930" s="73" t="s">
        <v>270</v>
      </c>
      <c r="K930" s="4">
        <v>1999788</v>
      </c>
      <c r="L930" s="41">
        <v>87.382999999999996</v>
      </c>
      <c r="M930" s="4">
        <v>1747660</v>
      </c>
      <c r="N930" s="4">
        <v>2000000</v>
      </c>
      <c r="O930" s="4">
        <v>1999871</v>
      </c>
      <c r="P930" s="4">
        <v>0</v>
      </c>
      <c r="Q930" s="4">
        <v>42</v>
      </c>
      <c r="R930" s="4">
        <v>0</v>
      </c>
      <c r="S930" s="4">
        <v>0</v>
      </c>
      <c r="T930" s="23">
        <v>1.4</v>
      </c>
      <c r="U930" s="23">
        <v>1.4059999999999999</v>
      </c>
      <c r="V930" s="5" t="s">
        <v>398</v>
      </c>
      <c r="W930" s="4">
        <v>1711</v>
      </c>
      <c r="X930" s="4">
        <v>28000</v>
      </c>
      <c r="Y930" s="14">
        <v>43987</v>
      </c>
      <c r="Z930" s="14">
        <v>47704</v>
      </c>
      <c r="AA930" s="2"/>
      <c r="AB930" s="69" t="s">
        <v>3892</v>
      </c>
      <c r="AC930" s="5" t="s">
        <v>7</v>
      </c>
      <c r="AD930" s="84" t="s">
        <v>4179</v>
      </c>
      <c r="AE930" s="14">
        <v>46182</v>
      </c>
      <c r="AF930" s="23">
        <v>100</v>
      </c>
      <c r="AG930" s="14">
        <v>46547</v>
      </c>
      <c r="AH930" s="5" t="s">
        <v>2</v>
      </c>
      <c r="AI930" s="5" t="s">
        <v>418</v>
      </c>
      <c r="AJ930" s="5" t="s">
        <v>418</v>
      </c>
      <c r="AK930" s="21" t="s">
        <v>2</v>
      </c>
      <c r="AL930" s="72" t="s">
        <v>2745</v>
      </c>
      <c r="AM930" s="54" t="s">
        <v>4179</v>
      </c>
      <c r="AN930" s="34" t="s">
        <v>2278</v>
      </c>
    </row>
    <row r="931" spans="2:40" x14ac:dyDescent="0.3">
      <c r="B931" s="18" t="s">
        <v>2936</v>
      </c>
      <c r="C931" s="47" t="s">
        <v>2937</v>
      </c>
      <c r="D931" s="15" t="s">
        <v>2660</v>
      </c>
      <c r="E931" s="68" t="s">
        <v>2</v>
      </c>
      <c r="F931" s="55" t="s">
        <v>2</v>
      </c>
      <c r="G931" s="40" t="s">
        <v>3894</v>
      </c>
      <c r="H931" s="71" t="s">
        <v>2745</v>
      </c>
      <c r="I931" s="67" t="s">
        <v>3408</v>
      </c>
      <c r="J931" s="73" t="s">
        <v>270</v>
      </c>
      <c r="K931" s="4">
        <v>10050000</v>
      </c>
      <c r="L931" s="41">
        <v>86.456000000000003</v>
      </c>
      <c r="M931" s="4">
        <v>8645607</v>
      </c>
      <c r="N931" s="4">
        <v>10000000</v>
      </c>
      <c r="O931" s="4">
        <v>10038281</v>
      </c>
      <c r="P931" s="4">
        <v>0</v>
      </c>
      <c r="Q931" s="4">
        <v>-7790</v>
      </c>
      <c r="R931" s="4">
        <v>0</v>
      </c>
      <c r="S931" s="4">
        <v>0</v>
      </c>
      <c r="T931" s="23">
        <v>1.56</v>
      </c>
      <c r="U931" s="23">
        <v>1.492</v>
      </c>
      <c r="V931" s="5" t="s">
        <v>398</v>
      </c>
      <c r="W931" s="4">
        <v>9533</v>
      </c>
      <c r="X931" s="4">
        <v>156000</v>
      </c>
      <c r="Y931" s="14">
        <v>44274</v>
      </c>
      <c r="Z931" s="14">
        <v>52148</v>
      </c>
      <c r="AA931" s="2"/>
      <c r="AB931" s="69" t="s">
        <v>3892</v>
      </c>
      <c r="AC931" s="5" t="s">
        <v>7</v>
      </c>
      <c r="AD931" s="84" t="s">
        <v>4179</v>
      </c>
      <c r="AE931" s="9">
        <v>46761</v>
      </c>
      <c r="AF931" s="23">
        <v>100</v>
      </c>
      <c r="AG931" s="14">
        <v>47308</v>
      </c>
      <c r="AH931" s="5" t="s">
        <v>2</v>
      </c>
      <c r="AI931" s="5" t="s">
        <v>418</v>
      </c>
      <c r="AJ931" s="5" t="s">
        <v>824</v>
      </c>
      <c r="AK931" s="21" t="s">
        <v>2</v>
      </c>
      <c r="AL931" s="72" t="s">
        <v>2745</v>
      </c>
      <c r="AM931" s="54" t="s">
        <v>4179</v>
      </c>
      <c r="AN931" s="34" t="s">
        <v>2278</v>
      </c>
    </row>
    <row r="932" spans="2:40" x14ac:dyDescent="0.3">
      <c r="B932" s="18" t="s">
        <v>4080</v>
      </c>
      <c r="C932" s="47" t="s">
        <v>2666</v>
      </c>
      <c r="D932" s="15" t="s">
        <v>1022</v>
      </c>
      <c r="E932" s="68" t="s">
        <v>2</v>
      </c>
      <c r="F932" s="55" t="s">
        <v>2</v>
      </c>
      <c r="G932" s="40" t="s">
        <v>1921</v>
      </c>
      <c r="H932" s="71" t="s">
        <v>2745</v>
      </c>
      <c r="I932" s="67" t="s">
        <v>1414</v>
      </c>
      <c r="J932" s="73" t="s">
        <v>270</v>
      </c>
      <c r="K932" s="4">
        <v>1536798</v>
      </c>
      <c r="L932" s="41">
        <v>94.137</v>
      </c>
      <c r="M932" s="4">
        <v>1446714</v>
      </c>
      <c r="N932" s="4">
        <v>1536813</v>
      </c>
      <c r="O932" s="4">
        <v>1536771</v>
      </c>
      <c r="P932" s="4">
        <v>0</v>
      </c>
      <c r="Q932" s="4">
        <v>-4</v>
      </c>
      <c r="R932" s="4">
        <v>0</v>
      </c>
      <c r="S932" s="4">
        <v>0</v>
      </c>
      <c r="T932" s="23">
        <v>3.3719999999999999</v>
      </c>
      <c r="U932" s="23">
        <v>3.395</v>
      </c>
      <c r="V932" s="5" t="s">
        <v>398</v>
      </c>
      <c r="W932" s="4">
        <v>1583</v>
      </c>
      <c r="X932" s="4">
        <v>51821</v>
      </c>
      <c r="Y932" s="14">
        <v>43049</v>
      </c>
      <c r="Z932" s="14">
        <v>53986</v>
      </c>
      <c r="AA932" s="2"/>
      <c r="AB932" s="69" t="s">
        <v>3892</v>
      </c>
      <c r="AC932" s="5" t="s">
        <v>7</v>
      </c>
      <c r="AD932" s="84" t="s">
        <v>161</v>
      </c>
      <c r="AE932" s="6"/>
      <c r="AF932" s="23"/>
      <c r="AG932" s="9">
        <v>46680</v>
      </c>
      <c r="AH932" s="5" t="s">
        <v>2</v>
      </c>
      <c r="AI932" s="5" t="s">
        <v>2145</v>
      </c>
      <c r="AJ932" s="5" t="s">
        <v>824</v>
      </c>
      <c r="AK932" s="21" t="s">
        <v>2</v>
      </c>
      <c r="AL932" s="72" t="s">
        <v>2745</v>
      </c>
      <c r="AM932" s="54" t="s">
        <v>4179</v>
      </c>
      <c r="AN932" s="34" t="s">
        <v>512</v>
      </c>
    </row>
    <row r="933" spans="2:40" x14ac:dyDescent="0.3">
      <c r="B933" s="18" t="s">
        <v>1543</v>
      </c>
      <c r="C933" s="47" t="s">
        <v>3804</v>
      </c>
      <c r="D933" s="15" t="s">
        <v>2938</v>
      </c>
      <c r="E933" s="68" t="s">
        <v>2</v>
      </c>
      <c r="F933" s="55" t="s">
        <v>2</v>
      </c>
      <c r="G933" s="40" t="s">
        <v>3894</v>
      </c>
      <c r="H933" s="71" t="s">
        <v>2745</v>
      </c>
      <c r="I933" s="67" t="s">
        <v>287</v>
      </c>
      <c r="J933" s="73" t="s">
        <v>270</v>
      </c>
      <c r="K933" s="4">
        <v>1349542</v>
      </c>
      <c r="L933" s="41">
        <v>95.876999999999995</v>
      </c>
      <c r="M933" s="4">
        <v>1326336</v>
      </c>
      <c r="N933" s="4">
        <v>1383370</v>
      </c>
      <c r="O933" s="4">
        <v>1369861</v>
      </c>
      <c r="P933" s="4">
        <v>0</v>
      </c>
      <c r="Q933" s="4">
        <v>5029</v>
      </c>
      <c r="R933" s="4">
        <v>0</v>
      </c>
      <c r="S933" s="4">
        <v>0</v>
      </c>
      <c r="T933" s="23">
        <v>2.61</v>
      </c>
      <c r="U933" s="23">
        <v>3.3860000000000001</v>
      </c>
      <c r="V933" s="5" t="s">
        <v>398</v>
      </c>
      <c r="W933" s="4">
        <v>2307</v>
      </c>
      <c r="X933" s="4">
        <v>36106</v>
      </c>
      <c r="Y933" s="14">
        <v>43440</v>
      </c>
      <c r="Z933" s="14">
        <v>47185</v>
      </c>
      <c r="AA933" s="2"/>
      <c r="AB933" s="69" t="s">
        <v>3892</v>
      </c>
      <c r="AC933" s="5" t="s">
        <v>7</v>
      </c>
      <c r="AD933" s="84" t="s">
        <v>161</v>
      </c>
      <c r="AE933" s="9">
        <v>45085</v>
      </c>
      <c r="AF933" s="23">
        <v>100</v>
      </c>
      <c r="AG933" s="14">
        <v>45877</v>
      </c>
      <c r="AH933" s="5" t="s">
        <v>2</v>
      </c>
      <c r="AI933" s="5" t="s">
        <v>3282</v>
      </c>
      <c r="AJ933" s="5" t="s">
        <v>824</v>
      </c>
      <c r="AK933" s="21" t="s">
        <v>2</v>
      </c>
      <c r="AL933" s="72" t="s">
        <v>2745</v>
      </c>
      <c r="AM933" s="54" t="s">
        <v>4179</v>
      </c>
      <c r="AN933" s="34" t="s">
        <v>819</v>
      </c>
    </row>
    <row r="934" spans="2:40" x14ac:dyDescent="0.3">
      <c r="B934" s="18" t="s">
        <v>2667</v>
      </c>
      <c r="C934" s="47" t="s">
        <v>3805</v>
      </c>
      <c r="D934" s="15" t="s">
        <v>2938</v>
      </c>
      <c r="E934" s="68" t="s">
        <v>2</v>
      </c>
      <c r="F934" s="55" t="s">
        <v>2</v>
      </c>
      <c r="G934" s="40" t="s">
        <v>1921</v>
      </c>
      <c r="H934" s="71" t="s">
        <v>3894</v>
      </c>
      <c r="I934" s="67" t="s">
        <v>8</v>
      </c>
      <c r="J934" s="73" t="s">
        <v>270</v>
      </c>
      <c r="K934" s="4">
        <v>744840</v>
      </c>
      <c r="L934" s="41">
        <v>95.783000000000001</v>
      </c>
      <c r="M934" s="4">
        <v>718367</v>
      </c>
      <c r="N934" s="4">
        <v>749996</v>
      </c>
      <c r="O934" s="4">
        <v>747129</v>
      </c>
      <c r="P934" s="4">
        <v>0</v>
      </c>
      <c r="Q934" s="4">
        <v>1062</v>
      </c>
      <c r="R934" s="4">
        <v>0</v>
      </c>
      <c r="S934" s="4">
        <v>0</v>
      </c>
      <c r="T934" s="23">
        <v>2.91</v>
      </c>
      <c r="U934" s="23">
        <v>3.2229999999999999</v>
      </c>
      <c r="V934" s="5" t="s">
        <v>398</v>
      </c>
      <c r="W934" s="4">
        <v>1394</v>
      </c>
      <c r="X934" s="4">
        <v>21825</v>
      </c>
      <c r="Y934" s="14">
        <v>44132</v>
      </c>
      <c r="Z934" s="14">
        <v>47185</v>
      </c>
      <c r="AA934" s="2"/>
      <c r="AB934" s="69" t="s">
        <v>3892</v>
      </c>
      <c r="AC934" s="5" t="s">
        <v>7</v>
      </c>
      <c r="AD934" s="84" t="s">
        <v>161</v>
      </c>
      <c r="AE934" s="6"/>
      <c r="AF934" s="23"/>
      <c r="AG934" s="14">
        <v>45877</v>
      </c>
      <c r="AH934" s="5" t="s">
        <v>2</v>
      </c>
      <c r="AI934" s="5" t="s">
        <v>3282</v>
      </c>
      <c r="AJ934" s="5" t="s">
        <v>824</v>
      </c>
      <c r="AK934" s="21" t="s">
        <v>2</v>
      </c>
      <c r="AL934" s="72" t="s">
        <v>2745</v>
      </c>
      <c r="AM934" s="54" t="s">
        <v>4179</v>
      </c>
      <c r="AN934" s="34" t="s">
        <v>1189</v>
      </c>
    </row>
    <row r="935" spans="2:40" x14ac:dyDescent="0.3">
      <c r="B935" s="18" t="s">
        <v>3806</v>
      </c>
      <c r="C935" s="47" t="s">
        <v>1322</v>
      </c>
      <c r="D935" s="15" t="s">
        <v>2938</v>
      </c>
      <c r="E935" s="68" t="s">
        <v>2</v>
      </c>
      <c r="F935" s="55" t="s">
        <v>2</v>
      </c>
      <c r="G935" s="40" t="s">
        <v>3894</v>
      </c>
      <c r="H935" s="71" t="s">
        <v>2745</v>
      </c>
      <c r="I935" s="67" t="s">
        <v>287</v>
      </c>
      <c r="J935" s="73" t="s">
        <v>270</v>
      </c>
      <c r="K935" s="4">
        <v>1405914</v>
      </c>
      <c r="L935" s="41">
        <v>94.147999999999996</v>
      </c>
      <c r="M935" s="4">
        <v>1323815</v>
      </c>
      <c r="N935" s="4">
        <v>1406103</v>
      </c>
      <c r="O935" s="4">
        <v>1405964</v>
      </c>
      <c r="P935" s="4">
        <v>0</v>
      </c>
      <c r="Q935" s="4">
        <v>17</v>
      </c>
      <c r="R935" s="4">
        <v>0</v>
      </c>
      <c r="S935" s="4">
        <v>0</v>
      </c>
      <c r="T935" s="23">
        <v>3.36</v>
      </c>
      <c r="U935" s="23">
        <v>3.3860000000000001</v>
      </c>
      <c r="V935" s="5" t="s">
        <v>398</v>
      </c>
      <c r="W935" s="4">
        <v>2887</v>
      </c>
      <c r="X935" s="4">
        <v>47245</v>
      </c>
      <c r="Y935" s="14">
        <v>43606</v>
      </c>
      <c r="Z935" s="14">
        <v>50504</v>
      </c>
      <c r="AA935" s="2"/>
      <c r="AB935" s="69" t="s">
        <v>3892</v>
      </c>
      <c r="AC935" s="5" t="s">
        <v>7</v>
      </c>
      <c r="AD935" s="84" t="s">
        <v>1921</v>
      </c>
      <c r="AE935" s="9">
        <v>46304</v>
      </c>
      <c r="AF935" s="23">
        <v>100</v>
      </c>
      <c r="AG935" s="14">
        <v>46852</v>
      </c>
      <c r="AH935" s="5" t="s">
        <v>2</v>
      </c>
      <c r="AI935" s="5" t="s">
        <v>3282</v>
      </c>
      <c r="AJ935" s="5" t="s">
        <v>824</v>
      </c>
      <c r="AK935" s="21" t="s">
        <v>2</v>
      </c>
      <c r="AL935" s="72" t="s">
        <v>2745</v>
      </c>
      <c r="AM935" s="54" t="s">
        <v>4179</v>
      </c>
      <c r="AN935" s="34" t="s">
        <v>819</v>
      </c>
    </row>
    <row r="936" spans="2:40" x14ac:dyDescent="0.3">
      <c r="B936" s="18" t="s">
        <v>427</v>
      </c>
      <c r="C936" s="47" t="s">
        <v>2146</v>
      </c>
      <c r="D936" s="15" t="s">
        <v>1544</v>
      </c>
      <c r="E936" s="68" t="s">
        <v>2</v>
      </c>
      <c r="F936" s="55" t="s">
        <v>2</v>
      </c>
      <c r="G936" s="40" t="s">
        <v>1921</v>
      </c>
      <c r="H936" s="71" t="s">
        <v>2745</v>
      </c>
      <c r="I936" s="67" t="s">
        <v>287</v>
      </c>
      <c r="J936" s="73" t="s">
        <v>270</v>
      </c>
      <c r="K936" s="4">
        <v>664588</v>
      </c>
      <c r="L936" s="41">
        <v>99.209000000000003</v>
      </c>
      <c r="M936" s="4">
        <v>659330</v>
      </c>
      <c r="N936" s="4">
        <v>664588</v>
      </c>
      <c r="O936" s="4">
        <v>664588</v>
      </c>
      <c r="P936" s="4">
        <v>0</v>
      </c>
      <c r="Q936" s="4">
        <v>0</v>
      </c>
      <c r="R936" s="4">
        <v>0</v>
      </c>
      <c r="S936" s="4">
        <v>0</v>
      </c>
      <c r="T936" s="23">
        <v>4.4589999999999996</v>
      </c>
      <c r="U936" s="23">
        <v>4.4989999999999997</v>
      </c>
      <c r="V936" s="5" t="s">
        <v>398</v>
      </c>
      <c r="W936" s="4">
        <v>1317</v>
      </c>
      <c r="X936" s="4">
        <v>29634</v>
      </c>
      <c r="Y936" s="14">
        <v>43494</v>
      </c>
      <c r="Z936" s="14">
        <v>46433</v>
      </c>
      <c r="AA936" s="2"/>
      <c r="AB936" s="69" t="s">
        <v>3892</v>
      </c>
      <c r="AC936" s="5" t="s">
        <v>7</v>
      </c>
      <c r="AD936" s="84" t="s">
        <v>161</v>
      </c>
      <c r="AE936" s="10"/>
      <c r="AF936" s="23"/>
      <c r="AG936" s="14">
        <v>45427</v>
      </c>
      <c r="AH936" s="5" t="s">
        <v>2</v>
      </c>
      <c r="AI936" s="5" t="s">
        <v>1545</v>
      </c>
      <c r="AJ936" s="5" t="s">
        <v>824</v>
      </c>
      <c r="AK936" s="21" t="s">
        <v>2</v>
      </c>
      <c r="AL936" s="72" t="s">
        <v>2745</v>
      </c>
      <c r="AM936" s="54" t="s">
        <v>4179</v>
      </c>
      <c r="AN936" s="34" t="s">
        <v>819</v>
      </c>
    </row>
    <row r="937" spans="2:40" x14ac:dyDescent="0.3">
      <c r="B937" s="18" t="s">
        <v>1813</v>
      </c>
      <c r="C937" s="47" t="s">
        <v>2445</v>
      </c>
      <c r="D937" s="15" t="s">
        <v>174</v>
      </c>
      <c r="E937" s="68" t="s">
        <v>2</v>
      </c>
      <c r="F937" s="55" t="s">
        <v>2</v>
      </c>
      <c r="G937" s="40" t="s">
        <v>3894</v>
      </c>
      <c r="H937" s="71" t="s">
        <v>2745</v>
      </c>
      <c r="I937" s="67" t="s">
        <v>3408</v>
      </c>
      <c r="J937" s="73" t="s">
        <v>270</v>
      </c>
      <c r="K937" s="4">
        <v>5000000</v>
      </c>
      <c r="L937" s="41">
        <v>96.74</v>
      </c>
      <c r="M937" s="4">
        <v>4837000</v>
      </c>
      <c r="N937" s="4">
        <v>5000000</v>
      </c>
      <c r="O937" s="4">
        <v>5000000</v>
      </c>
      <c r="P937" s="4">
        <v>0</v>
      </c>
      <c r="Q937" s="4">
        <v>0</v>
      </c>
      <c r="R937" s="4">
        <v>0</v>
      </c>
      <c r="S937" s="4">
        <v>0</v>
      </c>
      <c r="T937" s="23">
        <v>5.3490000000000002</v>
      </c>
      <c r="U937" s="23">
        <v>5.383</v>
      </c>
      <c r="V937" s="5" t="s">
        <v>3551</v>
      </c>
      <c r="W937" s="4">
        <v>57949</v>
      </c>
      <c r="X937" s="4">
        <v>115277</v>
      </c>
      <c r="Y937" s="14">
        <v>44245</v>
      </c>
      <c r="Z937" s="14">
        <v>48959</v>
      </c>
      <c r="AA937" s="2"/>
      <c r="AB937" s="69" t="s">
        <v>3892</v>
      </c>
      <c r="AC937" s="5" t="s">
        <v>7</v>
      </c>
      <c r="AD937" s="84" t="s">
        <v>1023</v>
      </c>
      <c r="AE937" s="9">
        <v>45031</v>
      </c>
      <c r="AF937" s="23">
        <v>100</v>
      </c>
      <c r="AG937" s="14">
        <v>47224</v>
      </c>
      <c r="AH937" s="5" t="s">
        <v>2</v>
      </c>
      <c r="AI937" s="5" t="s">
        <v>2939</v>
      </c>
      <c r="AJ937" s="5" t="s">
        <v>824</v>
      </c>
      <c r="AK937" s="21" t="s">
        <v>2</v>
      </c>
      <c r="AL937" s="72" t="s">
        <v>2745</v>
      </c>
      <c r="AM937" s="54" t="s">
        <v>4179</v>
      </c>
      <c r="AN937" s="34" t="s">
        <v>2278</v>
      </c>
    </row>
    <row r="938" spans="2:40" x14ac:dyDescent="0.3">
      <c r="B938" s="18" t="s">
        <v>2940</v>
      </c>
      <c r="C938" s="47" t="s">
        <v>428</v>
      </c>
      <c r="D938" s="15" t="s">
        <v>175</v>
      </c>
      <c r="E938" s="68" t="s">
        <v>2</v>
      </c>
      <c r="F938" s="55" t="s">
        <v>2</v>
      </c>
      <c r="G938" s="40" t="s">
        <v>2745</v>
      </c>
      <c r="H938" s="71" t="s">
        <v>2745</v>
      </c>
      <c r="I938" s="67" t="s">
        <v>287</v>
      </c>
      <c r="J938" s="73" t="s">
        <v>270</v>
      </c>
      <c r="K938" s="4">
        <v>7000000</v>
      </c>
      <c r="L938" s="41">
        <v>94.305000000000007</v>
      </c>
      <c r="M938" s="4">
        <v>6601341</v>
      </c>
      <c r="N938" s="4">
        <v>7000000</v>
      </c>
      <c r="O938" s="4">
        <v>7000000</v>
      </c>
      <c r="P938" s="4">
        <v>0</v>
      </c>
      <c r="Q938" s="4">
        <v>0</v>
      </c>
      <c r="R938" s="4">
        <v>0</v>
      </c>
      <c r="S938" s="4">
        <v>0</v>
      </c>
      <c r="T938" s="23">
        <v>2.8359999999999999</v>
      </c>
      <c r="U938" s="23">
        <v>2.8530000000000002</v>
      </c>
      <c r="V938" s="5" t="s">
        <v>398</v>
      </c>
      <c r="W938" s="4">
        <v>8823</v>
      </c>
      <c r="X938" s="4">
        <v>198520</v>
      </c>
      <c r="Y938" s="14">
        <v>43718</v>
      </c>
      <c r="Z938" s="14">
        <v>45672</v>
      </c>
      <c r="AA938" s="2"/>
      <c r="AB938" s="69" t="s">
        <v>3892</v>
      </c>
      <c r="AC938" s="5" t="s">
        <v>7</v>
      </c>
      <c r="AD938" s="84" t="s">
        <v>161</v>
      </c>
      <c r="AE938" s="10"/>
      <c r="AF938" s="23"/>
      <c r="AG938" s="10"/>
      <c r="AH938" s="5" t="s">
        <v>2</v>
      </c>
      <c r="AI938" s="5" t="s">
        <v>2147</v>
      </c>
      <c r="AJ938" s="5" t="s">
        <v>824</v>
      </c>
      <c r="AK938" s="21" t="s">
        <v>2</v>
      </c>
      <c r="AL938" s="72" t="s">
        <v>2745</v>
      </c>
      <c r="AM938" s="54" t="s">
        <v>4179</v>
      </c>
      <c r="AN938" s="34" t="s">
        <v>819</v>
      </c>
    </row>
    <row r="939" spans="2:40" x14ac:dyDescent="0.3">
      <c r="B939" s="18" t="s">
        <v>4081</v>
      </c>
      <c r="C939" s="47" t="s">
        <v>1814</v>
      </c>
      <c r="D939" s="15" t="s">
        <v>175</v>
      </c>
      <c r="E939" s="68" t="s">
        <v>2</v>
      </c>
      <c r="F939" s="55" t="s">
        <v>2</v>
      </c>
      <c r="G939" s="40" t="s">
        <v>2745</v>
      </c>
      <c r="H939" s="71" t="s">
        <v>2745</v>
      </c>
      <c r="I939" s="67" t="s">
        <v>287</v>
      </c>
      <c r="J939" s="73" t="s">
        <v>270</v>
      </c>
      <c r="K939" s="4">
        <v>4000000</v>
      </c>
      <c r="L939" s="41">
        <v>88.034000000000006</v>
      </c>
      <c r="M939" s="4">
        <v>3521373</v>
      </c>
      <c r="N939" s="4">
        <v>4000000</v>
      </c>
      <c r="O939" s="4">
        <v>4000000</v>
      </c>
      <c r="P939" s="4">
        <v>0</v>
      </c>
      <c r="Q939" s="4">
        <v>0</v>
      </c>
      <c r="R939" s="4">
        <v>0</v>
      </c>
      <c r="S939" s="4">
        <v>0</v>
      </c>
      <c r="T939" s="23">
        <v>1.8839999999999999</v>
      </c>
      <c r="U939" s="23">
        <v>1.89</v>
      </c>
      <c r="V939" s="5" t="s">
        <v>398</v>
      </c>
      <c r="W939" s="4">
        <v>3349</v>
      </c>
      <c r="X939" s="4">
        <v>75360</v>
      </c>
      <c r="Y939" s="14">
        <v>44020</v>
      </c>
      <c r="Z939" s="14">
        <v>46037</v>
      </c>
      <c r="AA939" s="2"/>
      <c r="AB939" s="69" t="s">
        <v>3892</v>
      </c>
      <c r="AC939" s="5" t="s">
        <v>7</v>
      </c>
      <c r="AD939" s="84" t="s">
        <v>161</v>
      </c>
      <c r="AE939" s="10"/>
      <c r="AF939" s="23"/>
      <c r="AG939" s="10"/>
      <c r="AH939" s="5" t="s">
        <v>2</v>
      </c>
      <c r="AI939" s="5" t="s">
        <v>2147</v>
      </c>
      <c r="AJ939" s="5" t="s">
        <v>824</v>
      </c>
      <c r="AK939" s="21" t="s">
        <v>2</v>
      </c>
      <c r="AL939" s="72" t="s">
        <v>2745</v>
      </c>
      <c r="AM939" s="54" t="s">
        <v>4179</v>
      </c>
      <c r="AN939" s="34" t="s">
        <v>819</v>
      </c>
    </row>
    <row r="940" spans="2:40" x14ac:dyDescent="0.3">
      <c r="B940" s="18" t="s">
        <v>678</v>
      </c>
      <c r="C940" s="47" t="s">
        <v>1546</v>
      </c>
      <c r="D940" s="15" t="s">
        <v>175</v>
      </c>
      <c r="E940" s="68" t="s">
        <v>2</v>
      </c>
      <c r="F940" s="55" t="s">
        <v>2</v>
      </c>
      <c r="G940" s="40" t="s">
        <v>2745</v>
      </c>
      <c r="H940" s="71" t="s">
        <v>2745</v>
      </c>
      <c r="I940" s="67" t="s">
        <v>287</v>
      </c>
      <c r="J940" s="73" t="s">
        <v>270</v>
      </c>
      <c r="K940" s="4">
        <v>3500000</v>
      </c>
      <c r="L940" s="41">
        <v>83.855000000000004</v>
      </c>
      <c r="M940" s="4">
        <v>2934918</v>
      </c>
      <c r="N940" s="4">
        <v>3500000</v>
      </c>
      <c r="O940" s="4">
        <v>3500000</v>
      </c>
      <c r="P940" s="4">
        <v>0</v>
      </c>
      <c r="Q940" s="4">
        <v>0</v>
      </c>
      <c r="R940" s="4">
        <v>0</v>
      </c>
      <c r="S940" s="4">
        <v>0</v>
      </c>
      <c r="T940" s="23">
        <v>2.3279999999999998</v>
      </c>
      <c r="U940" s="23">
        <v>2.3380000000000001</v>
      </c>
      <c r="V940" s="5" t="s">
        <v>398</v>
      </c>
      <c r="W940" s="4">
        <v>3621</v>
      </c>
      <c r="X940" s="4">
        <v>81480</v>
      </c>
      <c r="Y940" s="14">
        <v>44020</v>
      </c>
      <c r="Z940" s="14">
        <v>46767</v>
      </c>
      <c r="AA940" s="2"/>
      <c r="AB940" s="69" t="s">
        <v>3892</v>
      </c>
      <c r="AC940" s="5" t="s">
        <v>7</v>
      </c>
      <c r="AD940" s="84" t="s">
        <v>161</v>
      </c>
      <c r="AE940" s="6"/>
      <c r="AF940" s="23"/>
      <c r="AG940" s="10"/>
      <c r="AH940" s="5" t="s">
        <v>2</v>
      </c>
      <c r="AI940" s="5" t="s">
        <v>2147</v>
      </c>
      <c r="AJ940" s="5" t="s">
        <v>824</v>
      </c>
      <c r="AK940" s="21" t="s">
        <v>2</v>
      </c>
      <c r="AL940" s="72" t="s">
        <v>2745</v>
      </c>
      <c r="AM940" s="54" t="s">
        <v>4179</v>
      </c>
      <c r="AN940" s="34" t="s">
        <v>819</v>
      </c>
    </row>
    <row r="941" spans="2:40" x14ac:dyDescent="0.3">
      <c r="B941" s="18" t="s">
        <v>1815</v>
      </c>
      <c r="C941" s="47" t="s">
        <v>4082</v>
      </c>
      <c r="D941" s="15" t="s">
        <v>175</v>
      </c>
      <c r="E941" s="68" t="s">
        <v>2</v>
      </c>
      <c r="F941" s="55" t="s">
        <v>2</v>
      </c>
      <c r="G941" s="40" t="s">
        <v>3894</v>
      </c>
      <c r="H941" s="71" t="s">
        <v>2745</v>
      </c>
      <c r="I941" s="67" t="s">
        <v>287</v>
      </c>
      <c r="J941" s="73" t="s">
        <v>270</v>
      </c>
      <c r="K941" s="4">
        <v>9000000</v>
      </c>
      <c r="L941" s="41">
        <v>85.039000000000001</v>
      </c>
      <c r="M941" s="4">
        <v>7653543</v>
      </c>
      <c r="N941" s="4">
        <v>9000000</v>
      </c>
      <c r="O941" s="4">
        <v>9000000</v>
      </c>
      <c r="P941" s="4">
        <v>0</v>
      </c>
      <c r="Q941" s="4">
        <v>0</v>
      </c>
      <c r="R941" s="4">
        <v>0</v>
      </c>
      <c r="S941" s="4">
        <v>0</v>
      </c>
      <c r="T941" s="23">
        <v>1.631</v>
      </c>
      <c r="U941" s="23">
        <v>1.6359999999999999</v>
      </c>
      <c r="V941" s="5" t="s">
        <v>398</v>
      </c>
      <c r="W941" s="4">
        <v>6524</v>
      </c>
      <c r="X941" s="4">
        <v>146790</v>
      </c>
      <c r="Y941" s="14">
        <v>44315</v>
      </c>
      <c r="Z941" s="14">
        <v>46341</v>
      </c>
      <c r="AA941" s="2"/>
      <c r="AB941" s="69" t="s">
        <v>3892</v>
      </c>
      <c r="AC941" s="5" t="s">
        <v>7</v>
      </c>
      <c r="AD941" s="84" t="s">
        <v>3564</v>
      </c>
      <c r="AE941" s="9">
        <v>46341</v>
      </c>
      <c r="AF941" s="23">
        <v>100</v>
      </c>
      <c r="AG941" s="10"/>
      <c r="AH941" s="5" t="s">
        <v>2</v>
      </c>
      <c r="AI941" s="5" t="s">
        <v>2147</v>
      </c>
      <c r="AJ941" s="5" t="s">
        <v>824</v>
      </c>
      <c r="AK941" s="21" t="s">
        <v>2</v>
      </c>
      <c r="AL941" s="72" t="s">
        <v>2745</v>
      </c>
      <c r="AM941" s="54" t="s">
        <v>4179</v>
      </c>
      <c r="AN941" s="34" t="s">
        <v>819</v>
      </c>
    </row>
    <row r="942" spans="2:40" x14ac:dyDescent="0.3">
      <c r="B942" s="18" t="s">
        <v>2941</v>
      </c>
      <c r="C942" s="47" t="s">
        <v>2942</v>
      </c>
      <c r="D942" s="15" t="s">
        <v>175</v>
      </c>
      <c r="E942" s="68" t="s">
        <v>2</v>
      </c>
      <c r="F942" s="55" t="s">
        <v>2</v>
      </c>
      <c r="G942" s="40" t="s">
        <v>3894</v>
      </c>
      <c r="H942" s="71" t="s">
        <v>2745</v>
      </c>
      <c r="I942" s="67" t="s">
        <v>287</v>
      </c>
      <c r="J942" s="73" t="s">
        <v>270</v>
      </c>
      <c r="K942" s="4">
        <v>8000000</v>
      </c>
      <c r="L942" s="41">
        <v>84.831000000000003</v>
      </c>
      <c r="M942" s="4">
        <v>6786512</v>
      </c>
      <c r="N942" s="4">
        <v>8000000</v>
      </c>
      <c r="O942" s="4">
        <v>8000000</v>
      </c>
      <c r="P942" s="4">
        <v>0</v>
      </c>
      <c r="Q942" s="4">
        <v>0</v>
      </c>
      <c r="R942" s="4">
        <v>0</v>
      </c>
      <c r="S942" s="4">
        <v>0</v>
      </c>
      <c r="T942" s="23">
        <v>1.84</v>
      </c>
      <c r="U942" s="23">
        <v>1.8460000000000001</v>
      </c>
      <c r="V942" s="5" t="s">
        <v>398</v>
      </c>
      <c r="W942" s="4">
        <v>6542</v>
      </c>
      <c r="X942" s="4">
        <v>147200</v>
      </c>
      <c r="Y942" s="14">
        <v>44477</v>
      </c>
      <c r="Z942" s="14">
        <v>46492</v>
      </c>
      <c r="AA942" s="2"/>
      <c r="AB942" s="69" t="s">
        <v>3892</v>
      </c>
      <c r="AC942" s="5" t="s">
        <v>7</v>
      </c>
      <c r="AD942" s="84" t="s">
        <v>3564</v>
      </c>
      <c r="AE942" s="14">
        <v>46127</v>
      </c>
      <c r="AF942" s="23">
        <v>100</v>
      </c>
      <c r="AG942" s="14">
        <v>46341</v>
      </c>
      <c r="AH942" s="5" t="s">
        <v>2</v>
      </c>
      <c r="AI942" s="5" t="s">
        <v>2147</v>
      </c>
      <c r="AJ942" s="5" t="s">
        <v>824</v>
      </c>
      <c r="AK942" s="21" t="s">
        <v>2</v>
      </c>
      <c r="AL942" s="72" t="s">
        <v>2745</v>
      </c>
      <c r="AM942" s="54" t="s">
        <v>4179</v>
      </c>
      <c r="AN942" s="34" t="s">
        <v>819</v>
      </c>
    </row>
    <row r="943" spans="2:40" x14ac:dyDescent="0.3">
      <c r="B943" s="18" t="s">
        <v>429</v>
      </c>
      <c r="C943" s="47" t="s">
        <v>1024</v>
      </c>
      <c r="D943" s="15" t="s">
        <v>3580</v>
      </c>
      <c r="E943" s="68" t="s">
        <v>2</v>
      </c>
      <c r="F943" s="55" t="s">
        <v>2</v>
      </c>
      <c r="G943" s="40" t="s">
        <v>3894</v>
      </c>
      <c r="H943" s="71" t="s">
        <v>2745</v>
      </c>
      <c r="I943" s="67" t="s">
        <v>3408</v>
      </c>
      <c r="J943" s="73" t="s">
        <v>270</v>
      </c>
      <c r="K943" s="4">
        <v>3979931</v>
      </c>
      <c r="L943" s="41">
        <v>97.317999999999998</v>
      </c>
      <c r="M943" s="4">
        <v>3873416</v>
      </c>
      <c r="N943" s="4">
        <v>3980173</v>
      </c>
      <c r="O943" s="4">
        <v>3979996</v>
      </c>
      <c r="P943" s="4">
        <v>0</v>
      </c>
      <c r="Q943" s="4">
        <v>66</v>
      </c>
      <c r="R943" s="4">
        <v>0</v>
      </c>
      <c r="S943" s="4">
        <v>0</v>
      </c>
      <c r="T943" s="23">
        <v>4.7300000000000004</v>
      </c>
      <c r="U943" s="23">
        <v>4.7779999999999996</v>
      </c>
      <c r="V943" s="5" t="s">
        <v>398</v>
      </c>
      <c r="W943" s="4">
        <v>5752</v>
      </c>
      <c r="X943" s="4">
        <v>79489</v>
      </c>
      <c r="Y943" s="14">
        <v>44750</v>
      </c>
      <c r="Z943" s="14">
        <v>51307</v>
      </c>
      <c r="AA943" s="2"/>
      <c r="AB943" s="69" t="s">
        <v>3892</v>
      </c>
      <c r="AC943" s="5" t="s">
        <v>7</v>
      </c>
      <c r="AD943" s="84" t="s">
        <v>1921</v>
      </c>
      <c r="AE943" s="9">
        <v>47442</v>
      </c>
      <c r="AF943" s="23">
        <v>100</v>
      </c>
      <c r="AG943" s="14">
        <v>47107</v>
      </c>
      <c r="AH943" s="5" t="s">
        <v>2</v>
      </c>
      <c r="AI943" s="5" t="s">
        <v>2668</v>
      </c>
      <c r="AJ943" s="5" t="s">
        <v>824</v>
      </c>
      <c r="AK943" s="21" t="s">
        <v>2</v>
      </c>
      <c r="AL943" s="72" t="s">
        <v>3894</v>
      </c>
      <c r="AM943" s="54" t="s">
        <v>4179</v>
      </c>
      <c r="AN943" s="34" t="s">
        <v>2278</v>
      </c>
    </row>
    <row r="944" spans="2:40" x14ac:dyDescent="0.3">
      <c r="B944" s="18" t="s">
        <v>1547</v>
      </c>
      <c r="C944" s="47" t="s">
        <v>1025</v>
      </c>
      <c r="D944" s="15" t="s">
        <v>3580</v>
      </c>
      <c r="E944" s="68" t="s">
        <v>2</v>
      </c>
      <c r="F944" s="55" t="s">
        <v>2</v>
      </c>
      <c r="G944" s="40" t="s">
        <v>3894</v>
      </c>
      <c r="H944" s="71" t="s">
        <v>2745</v>
      </c>
      <c r="I944" s="67" t="s">
        <v>287</v>
      </c>
      <c r="J944" s="73" t="s">
        <v>270</v>
      </c>
      <c r="K944" s="4">
        <v>4169024</v>
      </c>
      <c r="L944" s="41">
        <v>97.409000000000006</v>
      </c>
      <c r="M944" s="4">
        <v>4061649</v>
      </c>
      <c r="N944" s="4">
        <v>4169706</v>
      </c>
      <c r="O944" s="4">
        <v>4169133</v>
      </c>
      <c r="P944" s="4">
        <v>0</v>
      </c>
      <c r="Q944" s="4">
        <v>108</v>
      </c>
      <c r="R944" s="4">
        <v>0</v>
      </c>
      <c r="S944" s="4">
        <v>0</v>
      </c>
      <c r="T944" s="23">
        <v>5.04</v>
      </c>
      <c r="U944" s="23">
        <v>5.0979999999999999</v>
      </c>
      <c r="V944" s="5" t="s">
        <v>398</v>
      </c>
      <c r="W944" s="4">
        <v>6421</v>
      </c>
      <c r="X944" s="4">
        <v>88731</v>
      </c>
      <c r="Y944" s="14">
        <v>44750</v>
      </c>
      <c r="Z944" s="14">
        <v>51307</v>
      </c>
      <c r="AA944" s="2"/>
      <c r="AB944" s="69" t="s">
        <v>3892</v>
      </c>
      <c r="AC944" s="5" t="s">
        <v>7</v>
      </c>
      <c r="AD944" s="84" t="s">
        <v>1921</v>
      </c>
      <c r="AE944" s="9">
        <v>47442</v>
      </c>
      <c r="AF944" s="23">
        <v>100</v>
      </c>
      <c r="AG944" s="14">
        <v>47107</v>
      </c>
      <c r="AH944" s="5" t="s">
        <v>2</v>
      </c>
      <c r="AI944" s="5" t="s">
        <v>2668</v>
      </c>
      <c r="AJ944" s="5" t="s">
        <v>824</v>
      </c>
      <c r="AK944" s="21" t="s">
        <v>2</v>
      </c>
      <c r="AL944" s="72" t="s">
        <v>825</v>
      </c>
      <c r="AM944" s="54" t="s">
        <v>4179</v>
      </c>
      <c r="AN944" s="34" t="s">
        <v>819</v>
      </c>
    </row>
    <row r="945" spans="2:40" x14ac:dyDescent="0.3">
      <c r="B945" s="18" t="s">
        <v>2669</v>
      </c>
      <c r="C945" s="47" t="s">
        <v>3581</v>
      </c>
      <c r="D945" s="15" t="s">
        <v>3807</v>
      </c>
      <c r="E945" s="68" t="s">
        <v>2</v>
      </c>
      <c r="F945" s="55" t="s">
        <v>2</v>
      </c>
      <c r="G945" s="40" t="s">
        <v>2745</v>
      </c>
      <c r="H945" s="71" t="s">
        <v>2745</v>
      </c>
      <c r="I945" s="67" t="s">
        <v>287</v>
      </c>
      <c r="J945" s="73" t="s">
        <v>270</v>
      </c>
      <c r="K945" s="4">
        <v>2336582</v>
      </c>
      <c r="L945" s="41">
        <v>93.105999999999995</v>
      </c>
      <c r="M945" s="4">
        <v>2174465</v>
      </c>
      <c r="N945" s="4">
        <v>2335477</v>
      </c>
      <c r="O945" s="4">
        <v>2336218</v>
      </c>
      <c r="P945" s="4">
        <v>0</v>
      </c>
      <c r="Q945" s="4">
        <v>-150</v>
      </c>
      <c r="R945" s="4">
        <v>0</v>
      </c>
      <c r="S945" s="4">
        <v>0</v>
      </c>
      <c r="T945" s="23">
        <v>2.3199999999999998</v>
      </c>
      <c r="U945" s="23">
        <v>2.319</v>
      </c>
      <c r="V945" s="5" t="s">
        <v>398</v>
      </c>
      <c r="W945" s="4">
        <v>1656</v>
      </c>
      <c r="X945" s="4">
        <v>54183</v>
      </c>
      <c r="Y945" s="14">
        <v>44050</v>
      </c>
      <c r="Z945" s="14">
        <v>50241</v>
      </c>
      <c r="AA945" s="2"/>
      <c r="AB945" s="69" t="s">
        <v>3892</v>
      </c>
      <c r="AC945" s="5" t="s">
        <v>7</v>
      </c>
      <c r="AD945" s="84" t="s">
        <v>1921</v>
      </c>
      <c r="AE945" s="14">
        <v>46680</v>
      </c>
      <c r="AF945" s="23">
        <v>100</v>
      </c>
      <c r="AG945" s="14">
        <v>46803</v>
      </c>
      <c r="AH945" s="5" t="s">
        <v>2</v>
      </c>
      <c r="AI945" s="5" t="s">
        <v>4083</v>
      </c>
      <c r="AJ945" s="5" t="s">
        <v>824</v>
      </c>
      <c r="AK945" s="21" t="s">
        <v>2</v>
      </c>
      <c r="AL945" s="72" t="s">
        <v>2745</v>
      </c>
      <c r="AM945" s="54" t="s">
        <v>4179</v>
      </c>
      <c r="AN945" s="34" t="s">
        <v>819</v>
      </c>
    </row>
    <row r="946" spans="2:40" x14ac:dyDescent="0.3">
      <c r="B946" s="18" t="s">
        <v>4084</v>
      </c>
      <c r="C946" s="47" t="s">
        <v>1816</v>
      </c>
      <c r="D946" s="15" t="s">
        <v>3807</v>
      </c>
      <c r="E946" s="68" t="s">
        <v>2</v>
      </c>
      <c r="F946" s="55" t="s">
        <v>2</v>
      </c>
      <c r="G946" s="40" t="s">
        <v>3894</v>
      </c>
      <c r="H946" s="71" t="s">
        <v>2745</v>
      </c>
      <c r="I946" s="67" t="s">
        <v>287</v>
      </c>
      <c r="J946" s="73" t="s">
        <v>270</v>
      </c>
      <c r="K946" s="4">
        <v>968720</v>
      </c>
      <c r="L946" s="41">
        <v>93.947999999999993</v>
      </c>
      <c r="M946" s="4">
        <v>910267</v>
      </c>
      <c r="N946" s="4">
        <v>968904</v>
      </c>
      <c r="O946" s="4">
        <v>968780</v>
      </c>
      <c r="P946" s="4">
        <v>0</v>
      </c>
      <c r="Q946" s="4">
        <v>17</v>
      </c>
      <c r="R946" s="4">
        <v>0</v>
      </c>
      <c r="S946" s="4">
        <v>0</v>
      </c>
      <c r="T946" s="23">
        <v>2.82</v>
      </c>
      <c r="U946" s="23">
        <v>2.8410000000000002</v>
      </c>
      <c r="V946" s="5" t="s">
        <v>398</v>
      </c>
      <c r="W946" s="4">
        <v>835</v>
      </c>
      <c r="X946" s="4">
        <v>27323</v>
      </c>
      <c r="Y946" s="14">
        <v>43662</v>
      </c>
      <c r="Z946" s="14">
        <v>49815</v>
      </c>
      <c r="AA946" s="2"/>
      <c r="AB946" s="69" t="s">
        <v>3892</v>
      </c>
      <c r="AC946" s="5" t="s">
        <v>7</v>
      </c>
      <c r="AD946" s="84" t="s">
        <v>1921</v>
      </c>
      <c r="AE946" s="9">
        <v>46346</v>
      </c>
      <c r="AF946" s="23">
        <v>100</v>
      </c>
      <c r="AG946" s="14">
        <v>46680</v>
      </c>
      <c r="AH946" s="5" t="s">
        <v>2</v>
      </c>
      <c r="AI946" s="5" t="s">
        <v>4083</v>
      </c>
      <c r="AJ946" s="5" t="s">
        <v>824</v>
      </c>
      <c r="AK946" s="21" t="s">
        <v>2</v>
      </c>
      <c r="AL946" s="72" t="s">
        <v>2745</v>
      </c>
      <c r="AM946" s="54" t="s">
        <v>4179</v>
      </c>
      <c r="AN946" s="34" t="s">
        <v>819</v>
      </c>
    </row>
    <row r="947" spans="2:40" x14ac:dyDescent="0.3">
      <c r="B947" s="18" t="s">
        <v>679</v>
      </c>
      <c r="C947" s="47" t="s">
        <v>1817</v>
      </c>
      <c r="D947" s="15" t="s">
        <v>3807</v>
      </c>
      <c r="E947" s="68" t="s">
        <v>2</v>
      </c>
      <c r="F947" s="55" t="s">
        <v>2</v>
      </c>
      <c r="G947" s="40" t="s">
        <v>3894</v>
      </c>
      <c r="H947" s="71" t="s">
        <v>3894</v>
      </c>
      <c r="I947" s="67" t="s">
        <v>8</v>
      </c>
      <c r="J947" s="73" t="s">
        <v>270</v>
      </c>
      <c r="K947" s="4">
        <v>1730645</v>
      </c>
      <c r="L947" s="41">
        <v>93.200999999999993</v>
      </c>
      <c r="M947" s="4">
        <v>1625449</v>
      </c>
      <c r="N947" s="4">
        <v>1744028</v>
      </c>
      <c r="O947" s="4">
        <v>1734933</v>
      </c>
      <c r="P947" s="4">
        <v>0</v>
      </c>
      <c r="Q947" s="4">
        <v>1630</v>
      </c>
      <c r="R947" s="4">
        <v>0</v>
      </c>
      <c r="S947" s="4">
        <v>0</v>
      </c>
      <c r="T947" s="23">
        <v>3.12</v>
      </c>
      <c r="U947" s="23">
        <v>3.363</v>
      </c>
      <c r="V947" s="5" t="s">
        <v>398</v>
      </c>
      <c r="W947" s="4">
        <v>1663</v>
      </c>
      <c r="X947" s="4">
        <v>54414</v>
      </c>
      <c r="Y947" s="14">
        <v>44040</v>
      </c>
      <c r="Z947" s="14">
        <v>49815</v>
      </c>
      <c r="AA947" s="2"/>
      <c r="AB947" s="69" t="s">
        <v>3892</v>
      </c>
      <c r="AC947" s="5" t="s">
        <v>7</v>
      </c>
      <c r="AD947" s="84" t="s">
        <v>1921</v>
      </c>
      <c r="AE947" s="9">
        <v>45432</v>
      </c>
      <c r="AF947" s="23">
        <v>100</v>
      </c>
      <c r="AG947" s="14">
        <v>46680</v>
      </c>
      <c r="AH947" s="5" t="s">
        <v>2</v>
      </c>
      <c r="AI947" s="5" t="s">
        <v>4083</v>
      </c>
      <c r="AJ947" s="5" t="s">
        <v>824</v>
      </c>
      <c r="AK947" s="21" t="s">
        <v>2</v>
      </c>
      <c r="AL947" s="72" t="s">
        <v>2745</v>
      </c>
      <c r="AM947" s="54" t="s">
        <v>4179</v>
      </c>
      <c r="AN947" s="34" t="s">
        <v>1189</v>
      </c>
    </row>
    <row r="948" spans="2:40" x14ac:dyDescent="0.3">
      <c r="B948" s="18" t="s">
        <v>1818</v>
      </c>
      <c r="C948" s="47" t="s">
        <v>4424</v>
      </c>
      <c r="D948" s="15" t="s">
        <v>3580</v>
      </c>
      <c r="E948" s="68" t="s">
        <v>2</v>
      </c>
      <c r="F948" s="55" t="s">
        <v>2</v>
      </c>
      <c r="G948" s="40" t="s">
        <v>3894</v>
      </c>
      <c r="H948" s="71" t="s">
        <v>2745</v>
      </c>
      <c r="I948" s="67" t="s">
        <v>287</v>
      </c>
      <c r="J948" s="73" t="s">
        <v>270</v>
      </c>
      <c r="K948" s="4">
        <v>3061951</v>
      </c>
      <c r="L948" s="41">
        <v>91.48</v>
      </c>
      <c r="M948" s="4">
        <v>2801709</v>
      </c>
      <c r="N948" s="4">
        <v>3062640</v>
      </c>
      <c r="O948" s="4">
        <v>3062124</v>
      </c>
      <c r="P948" s="4">
        <v>0</v>
      </c>
      <c r="Q948" s="4">
        <v>88</v>
      </c>
      <c r="R948" s="4">
        <v>0</v>
      </c>
      <c r="S948" s="4">
        <v>0</v>
      </c>
      <c r="T948" s="23">
        <v>1.34</v>
      </c>
      <c r="U948" s="23">
        <v>1.35</v>
      </c>
      <c r="V948" s="5" t="s">
        <v>398</v>
      </c>
      <c r="W948" s="4">
        <v>1254</v>
      </c>
      <c r="X948" s="4">
        <v>41039</v>
      </c>
      <c r="Y948" s="14">
        <v>44263</v>
      </c>
      <c r="Z948" s="14">
        <v>50364</v>
      </c>
      <c r="AA948" s="2"/>
      <c r="AB948" s="69" t="s">
        <v>3892</v>
      </c>
      <c r="AC948" s="5" t="s">
        <v>7</v>
      </c>
      <c r="AD948" s="84" t="s">
        <v>1921</v>
      </c>
      <c r="AE948" s="9">
        <v>45981</v>
      </c>
      <c r="AF948" s="23">
        <v>100</v>
      </c>
      <c r="AG948" s="14">
        <v>46893</v>
      </c>
      <c r="AH948" s="5" t="s">
        <v>2</v>
      </c>
      <c r="AI948" s="5" t="s">
        <v>2668</v>
      </c>
      <c r="AJ948" s="5" t="s">
        <v>824</v>
      </c>
      <c r="AK948" s="21" t="s">
        <v>2</v>
      </c>
      <c r="AL948" s="72" t="s">
        <v>2745</v>
      </c>
      <c r="AM948" s="54" t="s">
        <v>4179</v>
      </c>
      <c r="AN948" s="34" t="s">
        <v>819</v>
      </c>
    </row>
    <row r="949" spans="2:40" x14ac:dyDescent="0.3">
      <c r="B949" s="18" t="s">
        <v>2943</v>
      </c>
      <c r="C949" s="47" t="s">
        <v>4425</v>
      </c>
      <c r="D949" s="15" t="s">
        <v>3580</v>
      </c>
      <c r="E949" s="68" t="s">
        <v>2</v>
      </c>
      <c r="F949" s="55" t="s">
        <v>2</v>
      </c>
      <c r="G949" s="40" t="s">
        <v>3894</v>
      </c>
      <c r="H949" s="71" t="s">
        <v>3894</v>
      </c>
      <c r="I949" s="67" t="s">
        <v>8</v>
      </c>
      <c r="J949" s="73" t="s">
        <v>270</v>
      </c>
      <c r="K949" s="4">
        <v>2105287</v>
      </c>
      <c r="L949" s="41">
        <v>91.436000000000007</v>
      </c>
      <c r="M949" s="4">
        <v>1925254</v>
      </c>
      <c r="N949" s="4">
        <v>2105565</v>
      </c>
      <c r="O949" s="4">
        <v>2105356</v>
      </c>
      <c r="P949" s="4">
        <v>0</v>
      </c>
      <c r="Q949" s="4">
        <v>35</v>
      </c>
      <c r="R949" s="4">
        <v>0</v>
      </c>
      <c r="S949" s="4">
        <v>0</v>
      </c>
      <c r="T949" s="23">
        <v>1.79</v>
      </c>
      <c r="U949" s="23">
        <v>1.8</v>
      </c>
      <c r="V949" s="5" t="s">
        <v>398</v>
      </c>
      <c r="W949" s="4">
        <v>1152</v>
      </c>
      <c r="X949" s="4">
        <v>37690</v>
      </c>
      <c r="Y949" s="14">
        <v>44263</v>
      </c>
      <c r="Z949" s="14">
        <v>50364</v>
      </c>
      <c r="AA949" s="2"/>
      <c r="AB949" s="69" t="s">
        <v>3892</v>
      </c>
      <c r="AC949" s="5" t="s">
        <v>7</v>
      </c>
      <c r="AD949" s="84" t="s">
        <v>3564</v>
      </c>
      <c r="AE949" s="9">
        <v>46893</v>
      </c>
      <c r="AF949" s="23">
        <v>100</v>
      </c>
      <c r="AG949" s="14">
        <v>46893</v>
      </c>
      <c r="AH949" s="5" t="s">
        <v>2</v>
      </c>
      <c r="AI949" s="5" t="s">
        <v>2668</v>
      </c>
      <c r="AJ949" s="5" t="s">
        <v>824</v>
      </c>
      <c r="AK949" s="21" t="s">
        <v>2</v>
      </c>
      <c r="AL949" s="72" t="s">
        <v>2745</v>
      </c>
      <c r="AM949" s="54" t="s">
        <v>4179</v>
      </c>
      <c r="AN949" s="34" t="s">
        <v>1189</v>
      </c>
    </row>
    <row r="950" spans="2:40" x14ac:dyDescent="0.3">
      <c r="B950" s="18" t="s">
        <v>4085</v>
      </c>
      <c r="C950" s="47" t="s">
        <v>1323</v>
      </c>
      <c r="D950" s="15" t="s">
        <v>4086</v>
      </c>
      <c r="E950" s="68" t="s">
        <v>2</v>
      </c>
      <c r="F950" s="55" t="s">
        <v>2</v>
      </c>
      <c r="G950" s="40" t="s">
        <v>3894</v>
      </c>
      <c r="H950" s="71" t="s">
        <v>2745</v>
      </c>
      <c r="I950" s="67" t="s">
        <v>287</v>
      </c>
      <c r="J950" s="73" t="s">
        <v>270</v>
      </c>
      <c r="K950" s="4">
        <v>5312130</v>
      </c>
      <c r="L950" s="41">
        <v>92.260999999999996</v>
      </c>
      <c r="M950" s="4">
        <v>4901221</v>
      </c>
      <c r="N950" s="4">
        <v>5312327</v>
      </c>
      <c r="O950" s="4">
        <v>5312164</v>
      </c>
      <c r="P950" s="4">
        <v>0</v>
      </c>
      <c r="Q950" s="4">
        <v>32</v>
      </c>
      <c r="R950" s="4">
        <v>0</v>
      </c>
      <c r="S950" s="4">
        <v>0</v>
      </c>
      <c r="T950" s="23">
        <v>1.8</v>
      </c>
      <c r="U950" s="23">
        <v>1.8080000000000001</v>
      </c>
      <c r="V950" s="5" t="s">
        <v>398</v>
      </c>
      <c r="W950" s="4">
        <v>2922</v>
      </c>
      <c r="X950" s="4">
        <v>95622</v>
      </c>
      <c r="Y950" s="14">
        <v>44490</v>
      </c>
      <c r="Z950" s="14">
        <v>50668</v>
      </c>
      <c r="AA950" s="2"/>
      <c r="AB950" s="69" t="s">
        <v>3892</v>
      </c>
      <c r="AC950" s="5" t="s">
        <v>7</v>
      </c>
      <c r="AD950" s="84" t="s">
        <v>1921</v>
      </c>
      <c r="AE950" s="14">
        <v>47169</v>
      </c>
      <c r="AF950" s="23">
        <v>100</v>
      </c>
      <c r="AG950" s="14">
        <v>46954</v>
      </c>
      <c r="AH950" s="5" t="s">
        <v>2</v>
      </c>
      <c r="AI950" s="5" t="s">
        <v>3582</v>
      </c>
      <c r="AJ950" s="5" t="s">
        <v>824</v>
      </c>
      <c r="AK950" s="21" t="s">
        <v>2</v>
      </c>
      <c r="AL950" s="72" t="s">
        <v>2745</v>
      </c>
      <c r="AM950" s="54" t="s">
        <v>4179</v>
      </c>
      <c r="AN950" s="34" t="s">
        <v>819</v>
      </c>
    </row>
    <row r="951" spans="2:40" x14ac:dyDescent="0.3">
      <c r="B951" s="18" t="s">
        <v>680</v>
      </c>
      <c r="C951" s="47" t="s">
        <v>1324</v>
      </c>
      <c r="D951" s="15" t="s">
        <v>4086</v>
      </c>
      <c r="E951" s="68" t="s">
        <v>2</v>
      </c>
      <c r="F951" s="55" t="s">
        <v>2</v>
      </c>
      <c r="G951" s="40" t="s">
        <v>3894</v>
      </c>
      <c r="H951" s="71" t="s">
        <v>3894</v>
      </c>
      <c r="I951" s="67" t="s">
        <v>8</v>
      </c>
      <c r="J951" s="73" t="s">
        <v>270</v>
      </c>
      <c r="K951" s="4">
        <v>4249855</v>
      </c>
      <c r="L951" s="41">
        <v>91.194000000000003</v>
      </c>
      <c r="M951" s="4">
        <v>3875631</v>
      </c>
      <c r="N951" s="4">
        <v>4249862</v>
      </c>
      <c r="O951" s="4">
        <v>4249854</v>
      </c>
      <c r="P951" s="4">
        <v>0</v>
      </c>
      <c r="Q951" s="4">
        <v>1</v>
      </c>
      <c r="R951" s="4">
        <v>0</v>
      </c>
      <c r="S951" s="4">
        <v>0</v>
      </c>
      <c r="T951" s="23">
        <v>1.95</v>
      </c>
      <c r="U951" s="23">
        <v>1.958</v>
      </c>
      <c r="V951" s="5" t="s">
        <v>398</v>
      </c>
      <c r="W951" s="4">
        <v>2532</v>
      </c>
      <c r="X951" s="4">
        <v>82872</v>
      </c>
      <c r="Y951" s="14">
        <v>44471</v>
      </c>
      <c r="Z951" s="14">
        <v>50668</v>
      </c>
      <c r="AA951" s="2"/>
      <c r="AB951" s="69" t="s">
        <v>3892</v>
      </c>
      <c r="AC951" s="5" t="s">
        <v>7</v>
      </c>
      <c r="AD951" s="84" t="s">
        <v>1921</v>
      </c>
      <c r="AE951" s="14">
        <v>47169</v>
      </c>
      <c r="AF951" s="23">
        <v>100</v>
      </c>
      <c r="AG951" s="14">
        <v>46954</v>
      </c>
      <c r="AH951" s="5" t="s">
        <v>2</v>
      </c>
      <c r="AI951" s="5" t="s">
        <v>3582</v>
      </c>
      <c r="AJ951" s="5" t="s">
        <v>824</v>
      </c>
      <c r="AK951" s="21" t="s">
        <v>2</v>
      </c>
      <c r="AL951" s="72" t="s">
        <v>2745</v>
      </c>
      <c r="AM951" s="54" t="s">
        <v>4179</v>
      </c>
      <c r="AN951" s="34" t="s">
        <v>1189</v>
      </c>
    </row>
    <row r="952" spans="2:40" x14ac:dyDescent="0.3">
      <c r="B952" s="18" t="s">
        <v>1819</v>
      </c>
      <c r="C952" s="47" t="s">
        <v>1548</v>
      </c>
      <c r="D952" s="15" t="s">
        <v>1325</v>
      </c>
      <c r="E952" s="68" t="s">
        <v>2</v>
      </c>
      <c r="F952" s="55" t="s">
        <v>2</v>
      </c>
      <c r="G952" s="40" t="s">
        <v>3894</v>
      </c>
      <c r="H952" s="71" t="s">
        <v>2745</v>
      </c>
      <c r="I952" s="67" t="s">
        <v>3408</v>
      </c>
      <c r="J952" s="73" t="s">
        <v>270</v>
      </c>
      <c r="K952" s="4">
        <v>646544</v>
      </c>
      <c r="L952" s="41">
        <v>97.575000000000003</v>
      </c>
      <c r="M952" s="4">
        <v>630984</v>
      </c>
      <c r="N952" s="4">
        <v>646666</v>
      </c>
      <c r="O952" s="4">
        <v>646596</v>
      </c>
      <c r="P952" s="4">
        <v>0</v>
      </c>
      <c r="Q952" s="4">
        <v>14</v>
      </c>
      <c r="R952" s="4">
        <v>0</v>
      </c>
      <c r="S952" s="4">
        <v>0</v>
      </c>
      <c r="T952" s="23">
        <v>3.5</v>
      </c>
      <c r="U952" s="23">
        <v>3.5289999999999999</v>
      </c>
      <c r="V952" s="5" t="s">
        <v>398</v>
      </c>
      <c r="W952" s="4">
        <v>692</v>
      </c>
      <c r="X952" s="4">
        <v>22633</v>
      </c>
      <c r="Y952" s="14">
        <v>43292</v>
      </c>
      <c r="Z952" s="14">
        <v>49480</v>
      </c>
      <c r="AA952" s="2"/>
      <c r="AB952" s="69" t="s">
        <v>3892</v>
      </c>
      <c r="AC952" s="5" t="s">
        <v>7</v>
      </c>
      <c r="AD952" s="84" t="s">
        <v>161</v>
      </c>
      <c r="AE952" s="9">
        <v>45981</v>
      </c>
      <c r="AF952" s="23">
        <v>100</v>
      </c>
      <c r="AG952" s="14">
        <v>46254</v>
      </c>
      <c r="AH952" s="5" t="s">
        <v>2</v>
      </c>
      <c r="AI952" s="5" t="s">
        <v>4083</v>
      </c>
      <c r="AJ952" s="5" t="s">
        <v>4083</v>
      </c>
      <c r="AK952" s="21" t="s">
        <v>2</v>
      </c>
      <c r="AL952" s="72" t="s">
        <v>2745</v>
      </c>
      <c r="AM952" s="54" t="s">
        <v>4179</v>
      </c>
      <c r="AN952" s="34" t="s">
        <v>2278</v>
      </c>
    </row>
    <row r="953" spans="2:40" x14ac:dyDescent="0.3">
      <c r="B953" s="18" t="s">
        <v>3808</v>
      </c>
      <c r="C953" s="47" t="s">
        <v>1326</v>
      </c>
      <c r="D953" s="15" t="s">
        <v>3807</v>
      </c>
      <c r="E953" s="68" t="s">
        <v>2</v>
      </c>
      <c r="F953" s="55" t="s">
        <v>2</v>
      </c>
      <c r="G953" s="40" t="s">
        <v>3894</v>
      </c>
      <c r="H953" s="71" t="s">
        <v>2745</v>
      </c>
      <c r="I953" s="67" t="s">
        <v>287</v>
      </c>
      <c r="J953" s="73" t="s">
        <v>270</v>
      </c>
      <c r="K953" s="4">
        <v>704298</v>
      </c>
      <c r="L953" s="41">
        <v>96.287000000000006</v>
      </c>
      <c r="M953" s="4">
        <v>669352</v>
      </c>
      <c r="N953" s="4">
        <v>695166</v>
      </c>
      <c r="O953" s="4">
        <v>700927</v>
      </c>
      <c r="P953" s="4">
        <v>0</v>
      </c>
      <c r="Q953" s="4">
        <v>-1690</v>
      </c>
      <c r="R953" s="4">
        <v>0</v>
      </c>
      <c r="S953" s="4">
        <v>0</v>
      </c>
      <c r="T953" s="23">
        <v>3.65</v>
      </c>
      <c r="U953" s="23">
        <v>3.2280000000000002</v>
      </c>
      <c r="V953" s="5" t="s">
        <v>398</v>
      </c>
      <c r="W953" s="4">
        <v>775</v>
      </c>
      <c r="X953" s="4">
        <v>25374</v>
      </c>
      <c r="Y953" s="14">
        <v>44166</v>
      </c>
      <c r="Z953" s="14">
        <v>49480</v>
      </c>
      <c r="AA953" s="2"/>
      <c r="AB953" s="69" t="s">
        <v>3892</v>
      </c>
      <c r="AC953" s="5" t="s">
        <v>7</v>
      </c>
      <c r="AD953" s="84" t="s">
        <v>161</v>
      </c>
      <c r="AE953" s="9">
        <v>45981</v>
      </c>
      <c r="AF953" s="23">
        <v>100</v>
      </c>
      <c r="AG953" s="14">
        <v>46254</v>
      </c>
      <c r="AH953" s="5" t="s">
        <v>2</v>
      </c>
      <c r="AI953" s="5" t="s">
        <v>4083</v>
      </c>
      <c r="AJ953" s="5" t="s">
        <v>824</v>
      </c>
      <c r="AK953" s="21" t="s">
        <v>2</v>
      </c>
      <c r="AL953" s="72" t="s">
        <v>2745</v>
      </c>
      <c r="AM953" s="54" t="s">
        <v>4179</v>
      </c>
      <c r="AN953" s="34" t="s">
        <v>819</v>
      </c>
    </row>
    <row r="954" spans="2:40" x14ac:dyDescent="0.3">
      <c r="B954" s="18" t="s">
        <v>681</v>
      </c>
      <c r="C954" s="47" t="s">
        <v>2670</v>
      </c>
      <c r="D954" s="15" t="s">
        <v>3807</v>
      </c>
      <c r="E954" s="68" t="s">
        <v>2</v>
      </c>
      <c r="F954" s="55" t="s">
        <v>2</v>
      </c>
      <c r="G954" s="40" t="s">
        <v>3894</v>
      </c>
      <c r="H954" s="71" t="s">
        <v>2745</v>
      </c>
      <c r="I954" s="67" t="s">
        <v>287</v>
      </c>
      <c r="J954" s="73" t="s">
        <v>270</v>
      </c>
      <c r="K954" s="4">
        <v>995840</v>
      </c>
      <c r="L954" s="41">
        <v>94.671000000000006</v>
      </c>
      <c r="M954" s="4">
        <v>942982</v>
      </c>
      <c r="N954" s="4">
        <v>996058</v>
      </c>
      <c r="O954" s="4">
        <v>995920</v>
      </c>
      <c r="P954" s="4">
        <v>0</v>
      </c>
      <c r="Q954" s="4">
        <v>24</v>
      </c>
      <c r="R954" s="4">
        <v>0</v>
      </c>
      <c r="S954" s="4">
        <v>0</v>
      </c>
      <c r="T954" s="23">
        <v>3.42</v>
      </c>
      <c r="U954" s="23">
        <v>3.4489999999999998</v>
      </c>
      <c r="V954" s="5" t="s">
        <v>398</v>
      </c>
      <c r="W954" s="4">
        <v>1041</v>
      </c>
      <c r="X954" s="4">
        <v>34065</v>
      </c>
      <c r="Y954" s="14">
        <v>43536</v>
      </c>
      <c r="Z954" s="14">
        <v>49694</v>
      </c>
      <c r="AA954" s="2"/>
      <c r="AB954" s="69" t="s">
        <v>3892</v>
      </c>
      <c r="AC954" s="5" t="s">
        <v>7</v>
      </c>
      <c r="AD954" s="84" t="s">
        <v>1921</v>
      </c>
      <c r="AE954" s="9">
        <v>46193</v>
      </c>
      <c r="AF954" s="23">
        <v>100</v>
      </c>
      <c r="AG954" s="14">
        <v>46527</v>
      </c>
      <c r="AH954" s="5" t="s">
        <v>2</v>
      </c>
      <c r="AI954" s="5" t="s">
        <v>4083</v>
      </c>
      <c r="AJ954" s="5" t="s">
        <v>824</v>
      </c>
      <c r="AK954" s="21" t="s">
        <v>2</v>
      </c>
      <c r="AL954" s="72" t="s">
        <v>2745</v>
      </c>
      <c r="AM954" s="54" t="s">
        <v>4179</v>
      </c>
      <c r="AN954" s="34" t="s">
        <v>819</v>
      </c>
    </row>
    <row r="955" spans="2:40" x14ac:dyDescent="0.3">
      <c r="B955" s="18" t="s">
        <v>1820</v>
      </c>
      <c r="C955" s="47" t="s">
        <v>2671</v>
      </c>
      <c r="D955" s="15" t="s">
        <v>3807</v>
      </c>
      <c r="E955" s="68" t="s">
        <v>2</v>
      </c>
      <c r="F955" s="55" t="s">
        <v>2</v>
      </c>
      <c r="G955" s="40" t="s">
        <v>3894</v>
      </c>
      <c r="H955" s="71" t="s">
        <v>3894</v>
      </c>
      <c r="I955" s="67" t="s">
        <v>8</v>
      </c>
      <c r="J955" s="73" t="s">
        <v>270</v>
      </c>
      <c r="K955" s="4">
        <v>2707935</v>
      </c>
      <c r="L955" s="41">
        <v>94.028000000000006</v>
      </c>
      <c r="M955" s="4">
        <v>2536550</v>
      </c>
      <c r="N955" s="4">
        <v>2697657</v>
      </c>
      <c r="O955" s="4">
        <v>2704217</v>
      </c>
      <c r="P955" s="4">
        <v>0</v>
      </c>
      <c r="Q955" s="4">
        <v>-1610</v>
      </c>
      <c r="R955" s="4">
        <v>0</v>
      </c>
      <c r="S955" s="4">
        <v>0</v>
      </c>
      <c r="T955" s="23">
        <v>3.77</v>
      </c>
      <c r="U955" s="23">
        <v>3.6880000000000002</v>
      </c>
      <c r="V955" s="5" t="s">
        <v>398</v>
      </c>
      <c r="W955" s="4">
        <v>3108</v>
      </c>
      <c r="X955" s="4">
        <v>101702</v>
      </c>
      <c r="Y955" s="14">
        <v>44040</v>
      </c>
      <c r="Z955" s="14">
        <v>49694</v>
      </c>
      <c r="AA955" s="2"/>
      <c r="AB955" s="69" t="s">
        <v>3892</v>
      </c>
      <c r="AC955" s="5" t="s">
        <v>7</v>
      </c>
      <c r="AD955" s="84" t="s">
        <v>1921</v>
      </c>
      <c r="AE955" s="9">
        <v>45493</v>
      </c>
      <c r="AF955" s="23">
        <v>100</v>
      </c>
      <c r="AG955" s="14">
        <v>46527</v>
      </c>
      <c r="AH955" s="5" t="s">
        <v>2</v>
      </c>
      <c r="AI955" s="5" t="s">
        <v>4083</v>
      </c>
      <c r="AJ955" s="5" t="s">
        <v>824</v>
      </c>
      <c r="AK955" s="21" t="s">
        <v>2</v>
      </c>
      <c r="AL955" s="72" t="s">
        <v>2745</v>
      </c>
      <c r="AM955" s="54" t="s">
        <v>4179</v>
      </c>
      <c r="AN955" s="34" t="s">
        <v>1189</v>
      </c>
    </row>
    <row r="956" spans="2:40" x14ac:dyDescent="0.3">
      <c r="B956" s="18" t="s">
        <v>2944</v>
      </c>
      <c r="C956" s="47" t="s">
        <v>4426</v>
      </c>
      <c r="D956" s="15" t="s">
        <v>3807</v>
      </c>
      <c r="E956" s="68" t="s">
        <v>2</v>
      </c>
      <c r="F956" s="55" t="s">
        <v>2</v>
      </c>
      <c r="G956" s="40" t="s">
        <v>1921</v>
      </c>
      <c r="H956" s="71" t="s">
        <v>2745</v>
      </c>
      <c r="I956" s="67" t="s">
        <v>3408</v>
      </c>
      <c r="J956" s="73" t="s">
        <v>270</v>
      </c>
      <c r="K956" s="4">
        <v>825727</v>
      </c>
      <c r="L956" s="41">
        <v>98.462000000000003</v>
      </c>
      <c r="M956" s="4">
        <v>813230</v>
      </c>
      <c r="N956" s="4">
        <v>825934</v>
      </c>
      <c r="O956" s="4">
        <v>825811</v>
      </c>
      <c r="P956" s="4">
        <v>0</v>
      </c>
      <c r="Q956" s="4">
        <v>23</v>
      </c>
      <c r="R956" s="4">
        <v>0</v>
      </c>
      <c r="S956" s="4">
        <v>0</v>
      </c>
      <c r="T956" s="23">
        <v>3.69</v>
      </c>
      <c r="U956" s="23">
        <v>3.7240000000000002</v>
      </c>
      <c r="V956" s="5" t="s">
        <v>398</v>
      </c>
      <c r="W956" s="4">
        <v>931</v>
      </c>
      <c r="X956" s="4">
        <v>30477</v>
      </c>
      <c r="Y956" s="14">
        <v>43383</v>
      </c>
      <c r="Z956" s="14">
        <v>49572</v>
      </c>
      <c r="AA956" s="2"/>
      <c r="AB956" s="69" t="s">
        <v>3892</v>
      </c>
      <c r="AC956" s="5" t="s">
        <v>7</v>
      </c>
      <c r="AD956" s="84" t="s">
        <v>161</v>
      </c>
      <c r="AE956" s="10"/>
      <c r="AF956" s="23"/>
      <c r="AG956" s="14">
        <v>46407</v>
      </c>
      <c r="AH956" s="5" t="s">
        <v>2</v>
      </c>
      <c r="AI956" s="5" t="s">
        <v>4083</v>
      </c>
      <c r="AJ956" s="5" t="s">
        <v>824</v>
      </c>
      <c r="AK956" s="21" t="s">
        <v>2</v>
      </c>
      <c r="AL956" s="72" t="s">
        <v>2745</v>
      </c>
      <c r="AM956" s="54" t="s">
        <v>4179</v>
      </c>
      <c r="AN956" s="34" t="s">
        <v>2278</v>
      </c>
    </row>
    <row r="957" spans="2:40" x14ac:dyDescent="0.3">
      <c r="B957" s="18" t="s">
        <v>4087</v>
      </c>
      <c r="C957" s="47" t="s">
        <v>2446</v>
      </c>
      <c r="D957" s="15" t="s">
        <v>3807</v>
      </c>
      <c r="E957" s="68" t="s">
        <v>2</v>
      </c>
      <c r="F957" s="55" t="s">
        <v>2</v>
      </c>
      <c r="G957" s="40" t="s">
        <v>1921</v>
      </c>
      <c r="H957" s="71" t="s">
        <v>2745</v>
      </c>
      <c r="I957" s="67" t="s">
        <v>287</v>
      </c>
      <c r="J957" s="73" t="s">
        <v>270</v>
      </c>
      <c r="K957" s="4">
        <v>550531</v>
      </c>
      <c r="L957" s="41">
        <v>98.022000000000006</v>
      </c>
      <c r="M957" s="4">
        <v>539734</v>
      </c>
      <c r="N957" s="4">
        <v>550623</v>
      </c>
      <c r="O957" s="4">
        <v>550564</v>
      </c>
      <c r="P957" s="4">
        <v>0</v>
      </c>
      <c r="Q957" s="4">
        <v>9</v>
      </c>
      <c r="R957" s="4">
        <v>0</v>
      </c>
      <c r="S957" s="4">
        <v>0</v>
      </c>
      <c r="T957" s="23">
        <v>3.87</v>
      </c>
      <c r="U957" s="23">
        <v>3.9039999999999999</v>
      </c>
      <c r="V957" s="5" t="s">
        <v>398</v>
      </c>
      <c r="W957" s="4">
        <v>651</v>
      </c>
      <c r="X957" s="4">
        <v>21309</v>
      </c>
      <c r="Y957" s="14">
        <v>43383</v>
      </c>
      <c r="Z957" s="14">
        <v>49572</v>
      </c>
      <c r="AA957" s="2"/>
      <c r="AB957" s="69" t="s">
        <v>3892</v>
      </c>
      <c r="AC957" s="5" t="s">
        <v>7</v>
      </c>
      <c r="AD957" s="84" t="s">
        <v>161</v>
      </c>
      <c r="AE957" s="10"/>
      <c r="AF957" s="23"/>
      <c r="AG957" s="14">
        <v>46407</v>
      </c>
      <c r="AH957" s="5" t="s">
        <v>2</v>
      </c>
      <c r="AI957" s="5" t="s">
        <v>4083</v>
      </c>
      <c r="AJ957" s="5" t="s">
        <v>824</v>
      </c>
      <c r="AK957" s="21" t="s">
        <v>2</v>
      </c>
      <c r="AL957" s="72" t="s">
        <v>2745</v>
      </c>
      <c r="AM957" s="54" t="s">
        <v>4179</v>
      </c>
      <c r="AN957" s="34" t="s">
        <v>819</v>
      </c>
    </row>
    <row r="958" spans="2:40" x14ac:dyDescent="0.3">
      <c r="B958" s="18" t="s">
        <v>682</v>
      </c>
      <c r="C958" s="47" t="s">
        <v>2447</v>
      </c>
      <c r="D958" s="15" t="s">
        <v>3807</v>
      </c>
      <c r="E958" s="68" t="s">
        <v>2</v>
      </c>
      <c r="F958" s="55" t="s">
        <v>2</v>
      </c>
      <c r="G958" s="40" t="s">
        <v>3894</v>
      </c>
      <c r="H958" s="71" t="s">
        <v>3894</v>
      </c>
      <c r="I958" s="67" t="s">
        <v>8</v>
      </c>
      <c r="J958" s="73" t="s">
        <v>270</v>
      </c>
      <c r="K958" s="4">
        <v>2600887</v>
      </c>
      <c r="L958" s="41">
        <v>96.903999999999996</v>
      </c>
      <c r="M958" s="4">
        <v>2467784</v>
      </c>
      <c r="N958" s="4">
        <v>2546631</v>
      </c>
      <c r="O958" s="4">
        <v>2582415</v>
      </c>
      <c r="P958" s="4">
        <v>0</v>
      </c>
      <c r="Q958" s="4">
        <v>-8665</v>
      </c>
      <c r="R958" s="4">
        <v>0</v>
      </c>
      <c r="S958" s="4">
        <v>0</v>
      </c>
      <c r="T958" s="23">
        <v>4.17</v>
      </c>
      <c r="U958" s="23">
        <v>3.492</v>
      </c>
      <c r="V958" s="5" t="s">
        <v>398</v>
      </c>
      <c r="W958" s="4">
        <v>3245</v>
      </c>
      <c r="X958" s="4">
        <v>106194</v>
      </c>
      <c r="Y958" s="14">
        <v>44131</v>
      </c>
      <c r="Z958" s="14">
        <v>49572</v>
      </c>
      <c r="AA958" s="2"/>
      <c r="AB958" s="69" t="s">
        <v>3892</v>
      </c>
      <c r="AC958" s="5" t="s">
        <v>7</v>
      </c>
      <c r="AD958" s="84" t="s">
        <v>161</v>
      </c>
      <c r="AE958" s="14">
        <v>45280</v>
      </c>
      <c r="AF958" s="23">
        <v>100</v>
      </c>
      <c r="AG958" s="14">
        <v>46407</v>
      </c>
      <c r="AH958" s="5" t="s">
        <v>2</v>
      </c>
      <c r="AI958" s="5" t="s">
        <v>4083</v>
      </c>
      <c r="AJ958" s="5" t="s">
        <v>824</v>
      </c>
      <c r="AK958" s="21" t="s">
        <v>2</v>
      </c>
      <c r="AL958" s="72" t="s">
        <v>2745</v>
      </c>
      <c r="AM958" s="54" t="s">
        <v>4179</v>
      </c>
      <c r="AN958" s="34" t="s">
        <v>1189</v>
      </c>
    </row>
    <row r="959" spans="2:40" x14ac:dyDescent="0.3">
      <c r="B959" s="18" t="s">
        <v>1821</v>
      </c>
      <c r="C959" s="47" t="s">
        <v>3809</v>
      </c>
      <c r="D959" s="15" t="s">
        <v>4086</v>
      </c>
      <c r="E959" s="68" t="s">
        <v>2</v>
      </c>
      <c r="F959" s="55" t="s">
        <v>2</v>
      </c>
      <c r="G959" s="40" t="s">
        <v>3894</v>
      </c>
      <c r="H959" s="71" t="s">
        <v>2745</v>
      </c>
      <c r="I959" s="67" t="s">
        <v>3408</v>
      </c>
      <c r="J959" s="73" t="s">
        <v>270</v>
      </c>
      <c r="K959" s="4">
        <v>4465194</v>
      </c>
      <c r="L959" s="41">
        <v>100.529</v>
      </c>
      <c r="M959" s="4">
        <v>4490043</v>
      </c>
      <c r="N959" s="4">
        <v>4466414</v>
      </c>
      <c r="O959" s="4">
        <v>4465208</v>
      </c>
      <c r="P959" s="4">
        <v>0</v>
      </c>
      <c r="Q959" s="4">
        <v>14</v>
      </c>
      <c r="R959" s="4">
        <v>0</v>
      </c>
      <c r="S959" s="4">
        <v>0</v>
      </c>
      <c r="T959" s="23">
        <v>5.83</v>
      </c>
      <c r="U959" s="23">
        <v>5.907</v>
      </c>
      <c r="V959" s="5" t="s">
        <v>398</v>
      </c>
      <c r="W959" s="4">
        <v>7956</v>
      </c>
      <c r="X959" s="4">
        <v>43399</v>
      </c>
      <c r="Y959" s="14">
        <v>44846</v>
      </c>
      <c r="Z959" s="14">
        <v>50971</v>
      </c>
      <c r="AA959" s="2"/>
      <c r="AB959" s="69" t="s">
        <v>3892</v>
      </c>
      <c r="AC959" s="5" t="s">
        <v>7</v>
      </c>
      <c r="AD959" s="84" t="s">
        <v>1921</v>
      </c>
      <c r="AE959" s="9">
        <v>47562</v>
      </c>
      <c r="AF959" s="23">
        <v>100</v>
      </c>
      <c r="AG959" s="14">
        <v>48264</v>
      </c>
      <c r="AH959" s="5" t="s">
        <v>2</v>
      </c>
      <c r="AI959" s="5" t="s">
        <v>3582</v>
      </c>
      <c r="AJ959" s="5" t="s">
        <v>824</v>
      </c>
      <c r="AK959" s="21" t="s">
        <v>2</v>
      </c>
      <c r="AL959" s="72" t="s">
        <v>3894</v>
      </c>
      <c r="AM959" s="54" t="s">
        <v>4179</v>
      </c>
      <c r="AN959" s="34" t="s">
        <v>2278</v>
      </c>
    </row>
    <row r="960" spans="2:40" x14ac:dyDescent="0.3">
      <c r="B960" s="18" t="s">
        <v>2945</v>
      </c>
      <c r="C960" s="47" t="s">
        <v>3810</v>
      </c>
      <c r="D960" s="15" t="s">
        <v>4086</v>
      </c>
      <c r="E960" s="68" t="s">
        <v>2</v>
      </c>
      <c r="F960" s="55" t="s">
        <v>2</v>
      </c>
      <c r="G960" s="40" t="s">
        <v>3894</v>
      </c>
      <c r="H960" s="71" t="s">
        <v>2745</v>
      </c>
      <c r="I960" s="67" t="s">
        <v>287</v>
      </c>
      <c r="J960" s="73" t="s">
        <v>270</v>
      </c>
      <c r="K960" s="4">
        <v>4465523</v>
      </c>
      <c r="L960" s="41">
        <v>100.529</v>
      </c>
      <c r="M960" s="4">
        <v>4490044</v>
      </c>
      <c r="N960" s="4">
        <v>4466414</v>
      </c>
      <c r="O960" s="4">
        <v>4465528</v>
      </c>
      <c r="P960" s="4">
        <v>0</v>
      </c>
      <c r="Q960" s="4">
        <v>5</v>
      </c>
      <c r="R960" s="4">
        <v>0</v>
      </c>
      <c r="S960" s="4">
        <v>0</v>
      </c>
      <c r="T960" s="23">
        <v>6.32</v>
      </c>
      <c r="U960" s="23">
        <v>6.4080000000000004</v>
      </c>
      <c r="V960" s="5" t="s">
        <v>398</v>
      </c>
      <c r="W960" s="4">
        <v>8625</v>
      </c>
      <c r="X960" s="4">
        <v>47046</v>
      </c>
      <c r="Y960" s="14">
        <v>44846</v>
      </c>
      <c r="Z960" s="14">
        <v>50971</v>
      </c>
      <c r="AA960" s="2"/>
      <c r="AB960" s="69" t="s">
        <v>3892</v>
      </c>
      <c r="AC960" s="5" t="s">
        <v>7</v>
      </c>
      <c r="AD960" s="84" t="s">
        <v>1921</v>
      </c>
      <c r="AE960" s="14">
        <v>47562</v>
      </c>
      <c r="AF960" s="23">
        <v>100</v>
      </c>
      <c r="AG960" s="14">
        <v>48264</v>
      </c>
      <c r="AH960" s="5" t="s">
        <v>2</v>
      </c>
      <c r="AI960" s="5" t="s">
        <v>3582</v>
      </c>
      <c r="AJ960" s="5" t="s">
        <v>824</v>
      </c>
      <c r="AK960" s="21" t="s">
        <v>2</v>
      </c>
      <c r="AL960" s="72" t="s">
        <v>825</v>
      </c>
      <c r="AM960" s="54" t="s">
        <v>4179</v>
      </c>
      <c r="AN960" s="34" t="s">
        <v>819</v>
      </c>
    </row>
    <row r="961" spans="2:40" x14ac:dyDescent="0.3">
      <c r="B961" s="18" t="s">
        <v>4088</v>
      </c>
      <c r="C961" s="47" t="s">
        <v>3283</v>
      </c>
      <c r="D961" s="15" t="s">
        <v>1026</v>
      </c>
      <c r="E961" s="68" t="s">
        <v>2</v>
      </c>
      <c r="F961" s="55" t="s">
        <v>2</v>
      </c>
      <c r="G961" s="40" t="s">
        <v>3894</v>
      </c>
      <c r="H961" s="71" t="s">
        <v>3894</v>
      </c>
      <c r="I961" s="67" t="s">
        <v>8</v>
      </c>
      <c r="J961" s="73" t="s">
        <v>270</v>
      </c>
      <c r="K961" s="4">
        <v>1953333</v>
      </c>
      <c r="L961" s="41">
        <v>84.644999999999996</v>
      </c>
      <c r="M961" s="4">
        <v>1653403</v>
      </c>
      <c r="N961" s="4">
        <v>1953333</v>
      </c>
      <c r="O961" s="4">
        <v>1953333</v>
      </c>
      <c r="P961" s="4">
        <v>0</v>
      </c>
      <c r="Q961" s="4">
        <v>0</v>
      </c>
      <c r="R961" s="4">
        <v>0</v>
      </c>
      <c r="S961" s="4">
        <v>0</v>
      </c>
      <c r="T961" s="23">
        <v>4.3360000000000003</v>
      </c>
      <c r="U961" s="23">
        <v>4.3739999999999997</v>
      </c>
      <c r="V961" s="5" t="s">
        <v>398</v>
      </c>
      <c r="W961" s="4">
        <v>2588</v>
      </c>
      <c r="X961" s="4">
        <v>84697</v>
      </c>
      <c r="Y961" s="14">
        <v>43845</v>
      </c>
      <c r="Z961" s="14">
        <v>54808</v>
      </c>
      <c r="AA961" s="2"/>
      <c r="AB961" s="69" t="s">
        <v>3892</v>
      </c>
      <c r="AC961" s="5" t="s">
        <v>7</v>
      </c>
      <c r="AD961" s="84" t="s">
        <v>161</v>
      </c>
      <c r="AE961" s="14">
        <v>46042</v>
      </c>
      <c r="AF961" s="23">
        <v>100</v>
      </c>
      <c r="AG961" s="14">
        <v>47503</v>
      </c>
      <c r="AH961" s="5" t="s">
        <v>2</v>
      </c>
      <c r="AI961" s="5" t="s">
        <v>1327</v>
      </c>
      <c r="AJ961" s="5" t="s">
        <v>824</v>
      </c>
      <c r="AK961" s="21" t="s">
        <v>2</v>
      </c>
      <c r="AL961" s="72" t="s">
        <v>2745</v>
      </c>
      <c r="AM961" s="54" t="s">
        <v>4179</v>
      </c>
      <c r="AN961" s="34" t="s">
        <v>1189</v>
      </c>
    </row>
    <row r="962" spans="2:40" x14ac:dyDescent="0.3">
      <c r="B962" s="18" t="s">
        <v>683</v>
      </c>
      <c r="C962" s="47" t="s">
        <v>2946</v>
      </c>
      <c r="D962" s="15" t="s">
        <v>1549</v>
      </c>
      <c r="E962" s="68" t="s">
        <v>2</v>
      </c>
      <c r="F962" s="55" t="s">
        <v>2</v>
      </c>
      <c r="G962" s="40" t="s">
        <v>3894</v>
      </c>
      <c r="H962" s="71" t="s">
        <v>3894</v>
      </c>
      <c r="I962" s="67" t="s">
        <v>8</v>
      </c>
      <c r="J962" s="73" t="s">
        <v>270</v>
      </c>
      <c r="K962" s="4">
        <v>9875000</v>
      </c>
      <c r="L962" s="41">
        <v>72.3</v>
      </c>
      <c r="M962" s="4">
        <v>7139595</v>
      </c>
      <c r="N962" s="4">
        <v>9875000</v>
      </c>
      <c r="O962" s="4">
        <v>9875000</v>
      </c>
      <c r="P962" s="4">
        <v>0</v>
      </c>
      <c r="Q962" s="4">
        <v>0</v>
      </c>
      <c r="R962" s="4">
        <v>0</v>
      </c>
      <c r="S962" s="4">
        <v>0</v>
      </c>
      <c r="T962" s="23">
        <v>2.6360000000000001</v>
      </c>
      <c r="U962" s="23">
        <v>2.65</v>
      </c>
      <c r="V962" s="5" t="s">
        <v>398</v>
      </c>
      <c r="W962" s="4">
        <v>7954</v>
      </c>
      <c r="X962" s="4">
        <v>260305</v>
      </c>
      <c r="Y962" s="14">
        <v>44406</v>
      </c>
      <c r="Z962" s="14">
        <v>55385</v>
      </c>
      <c r="AA962" s="2"/>
      <c r="AB962" s="69" t="s">
        <v>3892</v>
      </c>
      <c r="AC962" s="5" t="s">
        <v>7</v>
      </c>
      <c r="AD962" s="84" t="s">
        <v>3564</v>
      </c>
      <c r="AE962" s="9">
        <v>46619</v>
      </c>
      <c r="AF962" s="23">
        <v>100</v>
      </c>
      <c r="AG962" s="14">
        <v>48080</v>
      </c>
      <c r="AH962" s="5" t="s">
        <v>2</v>
      </c>
      <c r="AI962" s="5" t="s">
        <v>1027</v>
      </c>
      <c r="AJ962" s="5" t="s">
        <v>824</v>
      </c>
      <c r="AK962" s="21" t="s">
        <v>2</v>
      </c>
      <c r="AL962" s="72" t="s">
        <v>2745</v>
      </c>
      <c r="AM962" s="54" t="s">
        <v>4179</v>
      </c>
      <c r="AN962" s="34" t="s">
        <v>1189</v>
      </c>
    </row>
    <row r="963" spans="2:40" x14ac:dyDescent="0.3">
      <c r="B963" s="18" t="s">
        <v>2947</v>
      </c>
      <c r="C963" s="47" t="s">
        <v>684</v>
      </c>
      <c r="D963" s="15" t="s">
        <v>3811</v>
      </c>
      <c r="E963" s="68" t="s">
        <v>2</v>
      </c>
      <c r="F963" s="55" t="s">
        <v>2</v>
      </c>
      <c r="G963" s="40" t="s">
        <v>1921</v>
      </c>
      <c r="H963" s="71" t="s">
        <v>2745</v>
      </c>
      <c r="I963" s="67" t="s">
        <v>287</v>
      </c>
      <c r="J963" s="73" t="s">
        <v>270</v>
      </c>
      <c r="K963" s="4">
        <v>13087636</v>
      </c>
      <c r="L963" s="41">
        <v>85.917000000000002</v>
      </c>
      <c r="M963" s="4">
        <v>11249433</v>
      </c>
      <c r="N963" s="4">
        <v>13093333</v>
      </c>
      <c r="O963" s="4">
        <v>13089297</v>
      </c>
      <c r="P963" s="4">
        <v>0</v>
      </c>
      <c r="Q963" s="4">
        <v>686</v>
      </c>
      <c r="R963" s="4">
        <v>0</v>
      </c>
      <c r="S963" s="4">
        <v>0</v>
      </c>
      <c r="T963" s="23">
        <v>2.09</v>
      </c>
      <c r="U963" s="23">
        <v>2.11</v>
      </c>
      <c r="V963" s="5" t="s">
        <v>398</v>
      </c>
      <c r="W963" s="4">
        <v>8362</v>
      </c>
      <c r="X963" s="4">
        <v>273651</v>
      </c>
      <c r="Y963" s="14">
        <v>44060</v>
      </c>
      <c r="Z963" s="14">
        <v>53194</v>
      </c>
      <c r="AA963" s="2"/>
      <c r="AB963" s="69" t="s">
        <v>3892</v>
      </c>
      <c r="AC963" s="5" t="s">
        <v>7</v>
      </c>
      <c r="AD963" s="84" t="s">
        <v>161</v>
      </c>
      <c r="AE963" s="6"/>
      <c r="AF963" s="23"/>
      <c r="AG963" s="14">
        <v>46803</v>
      </c>
      <c r="AH963" s="5" t="s">
        <v>2</v>
      </c>
      <c r="AI963" s="5" t="s">
        <v>176</v>
      </c>
      <c r="AJ963" s="5" t="s">
        <v>824</v>
      </c>
      <c r="AK963" s="21" t="s">
        <v>2</v>
      </c>
      <c r="AL963" s="72" t="s">
        <v>2745</v>
      </c>
      <c r="AM963" s="54" t="s">
        <v>4179</v>
      </c>
      <c r="AN963" s="34" t="s">
        <v>819</v>
      </c>
    </row>
    <row r="964" spans="2:40" x14ac:dyDescent="0.3">
      <c r="B964" s="18" t="s">
        <v>4089</v>
      </c>
      <c r="C964" s="47" t="s">
        <v>2948</v>
      </c>
      <c r="D964" s="15" t="s">
        <v>1028</v>
      </c>
      <c r="E964" s="68" t="s">
        <v>2</v>
      </c>
      <c r="F964" s="55" t="s">
        <v>2</v>
      </c>
      <c r="G964" s="40" t="s">
        <v>3894</v>
      </c>
      <c r="H964" s="71" t="s">
        <v>2745</v>
      </c>
      <c r="I964" s="67" t="s">
        <v>287</v>
      </c>
      <c r="J964" s="73" t="s">
        <v>270</v>
      </c>
      <c r="K964" s="4">
        <v>3405410</v>
      </c>
      <c r="L964" s="41">
        <v>83.061999999999998</v>
      </c>
      <c r="M964" s="4">
        <v>2828955</v>
      </c>
      <c r="N964" s="4">
        <v>3405833</v>
      </c>
      <c r="O964" s="4">
        <v>3405487</v>
      </c>
      <c r="P964" s="4">
        <v>0</v>
      </c>
      <c r="Q964" s="4">
        <v>41</v>
      </c>
      <c r="R964" s="4">
        <v>0</v>
      </c>
      <c r="S964" s="4">
        <v>0</v>
      </c>
      <c r="T964" s="23">
        <v>1.65</v>
      </c>
      <c r="U964" s="23">
        <v>1.6579999999999999</v>
      </c>
      <c r="V964" s="5" t="s">
        <v>398</v>
      </c>
      <c r="W964" s="4">
        <v>1717</v>
      </c>
      <c r="X964" s="4">
        <v>56196</v>
      </c>
      <c r="Y964" s="14">
        <v>44221</v>
      </c>
      <c r="Z964" s="14">
        <v>53378</v>
      </c>
      <c r="AA964" s="2"/>
      <c r="AB964" s="69" t="s">
        <v>3892</v>
      </c>
      <c r="AC964" s="5" t="s">
        <v>7</v>
      </c>
      <c r="AD964" s="84" t="s">
        <v>3564</v>
      </c>
      <c r="AE964" s="14">
        <v>44977</v>
      </c>
      <c r="AF964" s="23">
        <v>100</v>
      </c>
      <c r="AG964" s="14">
        <v>47899</v>
      </c>
      <c r="AH964" s="5" t="s">
        <v>2</v>
      </c>
      <c r="AI964" s="5" t="s">
        <v>4427</v>
      </c>
      <c r="AJ964" s="5" t="s">
        <v>824</v>
      </c>
      <c r="AK964" s="21" t="s">
        <v>2</v>
      </c>
      <c r="AL964" s="72" t="s">
        <v>2745</v>
      </c>
      <c r="AM964" s="54" t="s">
        <v>4179</v>
      </c>
      <c r="AN964" s="34" t="s">
        <v>819</v>
      </c>
    </row>
    <row r="965" spans="2:40" x14ac:dyDescent="0.3">
      <c r="B965" s="18" t="s">
        <v>685</v>
      </c>
      <c r="C965" s="47" t="s">
        <v>2148</v>
      </c>
      <c r="D965" s="15" t="s">
        <v>2448</v>
      </c>
      <c r="E965" s="68" t="s">
        <v>2</v>
      </c>
      <c r="F965" s="55" t="s">
        <v>2</v>
      </c>
      <c r="G965" s="40" t="s">
        <v>3894</v>
      </c>
      <c r="H965" s="71" t="s">
        <v>3894</v>
      </c>
      <c r="I965" s="67" t="s">
        <v>8</v>
      </c>
      <c r="J965" s="73" t="s">
        <v>270</v>
      </c>
      <c r="K965" s="4">
        <v>14605594</v>
      </c>
      <c r="L965" s="41">
        <v>75.965000000000003</v>
      </c>
      <c r="M965" s="4">
        <v>11280803</v>
      </c>
      <c r="N965" s="4">
        <v>14850000</v>
      </c>
      <c r="O965" s="4">
        <v>14624155</v>
      </c>
      <c r="P965" s="4">
        <v>0</v>
      </c>
      <c r="Q965" s="4">
        <v>18561</v>
      </c>
      <c r="R965" s="4">
        <v>0</v>
      </c>
      <c r="S965" s="4">
        <v>0</v>
      </c>
      <c r="T965" s="23">
        <v>2.5419999999999998</v>
      </c>
      <c r="U965" s="23">
        <v>2.9140000000000001</v>
      </c>
      <c r="V965" s="5" t="s">
        <v>4414</v>
      </c>
      <c r="W965" s="4">
        <v>37749</v>
      </c>
      <c r="X965" s="4">
        <v>377487</v>
      </c>
      <c r="Y965" s="14">
        <v>44601</v>
      </c>
      <c r="Z965" s="14">
        <v>55390</v>
      </c>
      <c r="AA965" s="2"/>
      <c r="AB965" s="69" t="s">
        <v>3892</v>
      </c>
      <c r="AC965" s="5" t="s">
        <v>7</v>
      </c>
      <c r="AD965" s="84" t="s">
        <v>3564</v>
      </c>
      <c r="AE965" s="9">
        <v>46624</v>
      </c>
      <c r="AF965" s="23">
        <v>100</v>
      </c>
      <c r="AG965" s="14">
        <v>48085</v>
      </c>
      <c r="AH965" s="5" t="s">
        <v>2</v>
      </c>
      <c r="AI965" s="5" t="s">
        <v>4428</v>
      </c>
      <c r="AJ965" s="5" t="s">
        <v>824</v>
      </c>
      <c r="AK965" s="21" t="s">
        <v>2</v>
      </c>
      <c r="AL965" s="72" t="s">
        <v>2745</v>
      </c>
      <c r="AM965" s="54" t="s">
        <v>4179</v>
      </c>
      <c r="AN965" s="34" t="s">
        <v>1189</v>
      </c>
    </row>
    <row r="966" spans="2:40" x14ac:dyDescent="0.3">
      <c r="B966" s="18" t="s">
        <v>1822</v>
      </c>
      <c r="C966" s="47" t="s">
        <v>177</v>
      </c>
      <c r="D966" s="15" t="s">
        <v>1550</v>
      </c>
      <c r="E966" s="68" t="s">
        <v>2</v>
      </c>
      <c r="F966" s="55" t="s">
        <v>2</v>
      </c>
      <c r="G966" s="40" t="s">
        <v>1921</v>
      </c>
      <c r="H966" s="71" t="s">
        <v>2745</v>
      </c>
      <c r="I966" s="67" t="s">
        <v>287</v>
      </c>
      <c r="J966" s="73" t="s">
        <v>270</v>
      </c>
      <c r="K966" s="4">
        <v>7634453</v>
      </c>
      <c r="L966" s="41">
        <v>87.801000000000002</v>
      </c>
      <c r="M966" s="4">
        <v>6705807</v>
      </c>
      <c r="N966" s="4">
        <v>7637500</v>
      </c>
      <c r="O966" s="4">
        <v>7635243</v>
      </c>
      <c r="P966" s="4">
        <v>0</v>
      </c>
      <c r="Q966" s="4">
        <v>346</v>
      </c>
      <c r="R966" s="4">
        <v>0</v>
      </c>
      <c r="S966" s="4">
        <v>0</v>
      </c>
      <c r="T966" s="23">
        <v>2.0499999999999998</v>
      </c>
      <c r="U966" s="23">
        <v>2.0680000000000001</v>
      </c>
      <c r="V966" s="5" t="s">
        <v>398</v>
      </c>
      <c r="W966" s="4">
        <v>4784</v>
      </c>
      <c r="X966" s="4">
        <v>156569</v>
      </c>
      <c r="Y966" s="14">
        <v>44083</v>
      </c>
      <c r="Z966" s="14">
        <v>53225</v>
      </c>
      <c r="AA966" s="2"/>
      <c r="AB966" s="69" t="s">
        <v>3892</v>
      </c>
      <c r="AC966" s="5" t="s">
        <v>7</v>
      </c>
      <c r="AD966" s="84" t="s">
        <v>4179</v>
      </c>
      <c r="AE966" s="6"/>
      <c r="AF966" s="23"/>
      <c r="AG966" s="14">
        <v>47258</v>
      </c>
      <c r="AH966" s="5" t="s">
        <v>2</v>
      </c>
      <c r="AI966" s="5" t="s">
        <v>2449</v>
      </c>
      <c r="AJ966" s="5" t="s">
        <v>824</v>
      </c>
      <c r="AK966" s="21" t="s">
        <v>2</v>
      </c>
      <c r="AL966" s="72" t="s">
        <v>2745</v>
      </c>
      <c r="AM966" s="54" t="s">
        <v>4179</v>
      </c>
      <c r="AN966" s="34" t="s">
        <v>819</v>
      </c>
    </row>
    <row r="967" spans="2:40" x14ac:dyDescent="0.3">
      <c r="B967" s="18" t="s">
        <v>2949</v>
      </c>
      <c r="C967" s="47" t="s">
        <v>2672</v>
      </c>
      <c r="D967" s="15" t="s">
        <v>2149</v>
      </c>
      <c r="E967" s="68" t="s">
        <v>2</v>
      </c>
      <c r="F967" s="55" t="s">
        <v>2</v>
      </c>
      <c r="G967" s="40" t="s">
        <v>3894</v>
      </c>
      <c r="H967" s="71" t="s">
        <v>3894</v>
      </c>
      <c r="I967" s="67" t="s">
        <v>8</v>
      </c>
      <c r="J967" s="73" t="s">
        <v>270</v>
      </c>
      <c r="K967" s="4">
        <v>1999967</v>
      </c>
      <c r="L967" s="41">
        <v>98.933000000000007</v>
      </c>
      <c r="M967" s="4">
        <v>1978652</v>
      </c>
      <c r="N967" s="4">
        <v>2000000</v>
      </c>
      <c r="O967" s="4">
        <v>1999997</v>
      </c>
      <c r="P967" s="4">
        <v>0</v>
      </c>
      <c r="Q967" s="4">
        <v>14</v>
      </c>
      <c r="R967" s="4">
        <v>0</v>
      </c>
      <c r="S967" s="4">
        <v>0</v>
      </c>
      <c r="T967" s="23">
        <v>2.33</v>
      </c>
      <c r="U967" s="23">
        <v>2.3420000000000001</v>
      </c>
      <c r="V967" s="5" t="s">
        <v>398</v>
      </c>
      <c r="W967" s="4">
        <v>1424</v>
      </c>
      <c r="X967" s="4">
        <v>46600</v>
      </c>
      <c r="Y967" s="14">
        <v>44042</v>
      </c>
      <c r="Z967" s="14">
        <v>45342</v>
      </c>
      <c r="AA967" s="2"/>
      <c r="AB967" s="69" t="s">
        <v>3892</v>
      </c>
      <c r="AC967" s="5" t="s">
        <v>7</v>
      </c>
      <c r="AD967" s="84" t="s">
        <v>1921</v>
      </c>
      <c r="AE967" s="14">
        <v>45036</v>
      </c>
      <c r="AF967" s="23">
        <v>100</v>
      </c>
      <c r="AG967" s="14">
        <v>45005</v>
      </c>
      <c r="AH967" s="5" t="s">
        <v>2</v>
      </c>
      <c r="AI967" s="5" t="s">
        <v>2450</v>
      </c>
      <c r="AJ967" s="5" t="s">
        <v>824</v>
      </c>
      <c r="AK967" s="21" t="s">
        <v>2</v>
      </c>
      <c r="AL967" s="72" t="s">
        <v>2745</v>
      </c>
      <c r="AM967" s="54" t="s">
        <v>4179</v>
      </c>
      <c r="AN967" s="34" t="s">
        <v>1189</v>
      </c>
    </row>
    <row r="968" spans="2:40" x14ac:dyDescent="0.3">
      <c r="B968" s="18" t="s">
        <v>4090</v>
      </c>
      <c r="C968" s="47" t="s">
        <v>2673</v>
      </c>
      <c r="D968" s="15" t="s">
        <v>4091</v>
      </c>
      <c r="E968" s="68" t="s">
        <v>2</v>
      </c>
      <c r="F968" s="55" t="s">
        <v>2</v>
      </c>
      <c r="G968" s="40" t="s">
        <v>1921</v>
      </c>
      <c r="H968" s="71" t="s">
        <v>2745</v>
      </c>
      <c r="I968" s="67" t="s">
        <v>287</v>
      </c>
      <c r="J968" s="73" t="s">
        <v>270</v>
      </c>
      <c r="K968" s="4">
        <v>10460592</v>
      </c>
      <c r="L968" s="41">
        <v>90.620999999999995</v>
      </c>
      <c r="M968" s="4">
        <v>9445843</v>
      </c>
      <c r="N968" s="4">
        <v>10423487</v>
      </c>
      <c r="O968" s="4">
        <v>10450678</v>
      </c>
      <c r="P968" s="4">
        <v>0</v>
      </c>
      <c r="Q968" s="4">
        <v>-4167</v>
      </c>
      <c r="R968" s="4">
        <v>0</v>
      </c>
      <c r="S968" s="4">
        <v>0</v>
      </c>
      <c r="T968" s="23">
        <v>2.73</v>
      </c>
      <c r="U968" s="23">
        <v>2.66</v>
      </c>
      <c r="V968" s="5" t="s">
        <v>398</v>
      </c>
      <c r="W968" s="4">
        <v>8695</v>
      </c>
      <c r="X968" s="4">
        <v>284561</v>
      </c>
      <c r="Y968" s="14">
        <v>44054</v>
      </c>
      <c r="Z968" s="14">
        <v>53195</v>
      </c>
      <c r="AA968" s="2"/>
      <c r="AB968" s="69" t="s">
        <v>3892</v>
      </c>
      <c r="AC968" s="5" t="s">
        <v>7</v>
      </c>
      <c r="AD968" s="84" t="s">
        <v>4179</v>
      </c>
      <c r="AE968" s="10"/>
      <c r="AF968" s="23"/>
      <c r="AG968" s="14">
        <v>47228</v>
      </c>
      <c r="AH968" s="5" t="s">
        <v>2</v>
      </c>
      <c r="AI968" s="5" t="s">
        <v>2674</v>
      </c>
      <c r="AJ968" s="5" t="s">
        <v>824</v>
      </c>
      <c r="AK968" s="21" t="s">
        <v>2</v>
      </c>
      <c r="AL968" s="72" t="s">
        <v>2745</v>
      </c>
      <c r="AM968" s="54" t="s">
        <v>4179</v>
      </c>
      <c r="AN968" s="34" t="s">
        <v>819</v>
      </c>
    </row>
    <row r="969" spans="2:40" x14ac:dyDescent="0.3">
      <c r="B969" s="18" t="s">
        <v>686</v>
      </c>
      <c r="C969" s="47" t="s">
        <v>3812</v>
      </c>
      <c r="D969" s="15" t="s">
        <v>1029</v>
      </c>
      <c r="E969" s="68" t="s">
        <v>2</v>
      </c>
      <c r="F969" s="55" t="s">
        <v>2</v>
      </c>
      <c r="G969" s="40" t="s">
        <v>3894</v>
      </c>
      <c r="H969" s="71" t="s">
        <v>2745</v>
      </c>
      <c r="I969" s="67" t="s">
        <v>3408</v>
      </c>
      <c r="J969" s="73" t="s">
        <v>270</v>
      </c>
      <c r="K969" s="4">
        <v>19748450</v>
      </c>
      <c r="L969" s="41">
        <v>88.725999999999999</v>
      </c>
      <c r="M969" s="4">
        <v>17523346</v>
      </c>
      <c r="N969" s="4">
        <v>19750000</v>
      </c>
      <c r="O969" s="4">
        <v>19749019</v>
      </c>
      <c r="P969" s="4">
        <v>0</v>
      </c>
      <c r="Q969" s="4">
        <v>304</v>
      </c>
      <c r="R969" s="4">
        <v>0</v>
      </c>
      <c r="S969" s="4">
        <v>0</v>
      </c>
      <c r="T969" s="23">
        <v>1.07</v>
      </c>
      <c r="U969" s="23">
        <v>1.0740000000000001</v>
      </c>
      <c r="V969" s="5" t="s">
        <v>398</v>
      </c>
      <c r="W969" s="4">
        <v>3522</v>
      </c>
      <c r="X969" s="4">
        <v>211325</v>
      </c>
      <c r="Y969" s="14">
        <v>44256</v>
      </c>
      <c r="Z969" s="14">
        <v>49002</v>
      </c>
      <c r="AA969" s="2"/>
      <c r="AB969" s="69" t="s">
        <v>3892</v>
      </c>
      <c r="AC969" s="5" t="s">
        <v>7</v>
      </c>
      <c r="AD969" s="84" t="s">
        <v>1921</v>
      </c>
      <c r="AE969" s="14">
        <v>46078</v>
      </c>
      <c r="AF969" s="23">
        <v>100</v>
      </c>
      <c r="AG969" s="14">
        <v>46078</v>
      </c>
      <c r="AH969" s="5" t="s">
        <v>2</v>
      </c>
      <c r="AI969" s="5" t="s">
        <v>2950</v>
      </c>
      <c r="AJ969" s="5" t="s">
        <v>824</v>
      </c>
      <c r="AK969" s="21" t="s">
        <v>2</v>
      </c>
      <c r="AL969" s="72" t="s">
        <v>2745</v>
      </c>
      <c r="AM969" s="54" t="s">
        <v>4179</v>
      </c>
      <c r="AN969" s="34" t="s">
        <v>2278</v>
      </c>
    </row>
    <row r="970" spans="2:40" x14ac:dyDescent="0.3">
      <c r="B970" s="18" t="s">
        <v>1823</v>
      </c>
      <c r="C970" s="47" t="s">
        <v>4429</v>
      </c>
      <c r="D970" s="15" t="s">
        <v>3583</v>
      </c>
      <c r="E970" s="68" t="s">
        <v>2</v>
      </c>
      <c r="F970" s="55" t="s">
        <v>2</v>
      </c>
      <c r="G970" s="40" t="s">
        <v>1921</v>
      </c>
      <c r="H970" s="71" t="s">
        <v>2745</v>
      </c>
      <c r="I970" s="67" t="s">
        <v>287</v>
      </c>
      <c r="J970" s="73" t="s">
        <v>270</v>
      </c>
      <c r="K970" s="4">
        <v>8085992</v>
      </c>
      <c r="L970" s="41">
        <v>85.671999999999997</v>
      </c>
      <c r="M970" s="4">
        <v>6928715</v>
      </c>
      <c r="N970" s="4">
        <v>8087500</v>
      </c>
      <c r="O970" s="4">
        <v>8086341</v>
      </c>
      <c r="P970" s="4">
        <v>0</v>
      </c>
      <c r="Q970" s="4">
        <v>18</v>
      </c>
      <c r="R970" s="4">
        <v>0</v>
      </c>
      <c r="S970" s="4">
        <v>0</v>
      </c>
      <c r="T970" s="23">
        <v>2.11</v>
      </c>
      <c r="U970" s="23">
        <v>2.1230000000000002</v>
      </c>
      <c r="V970" s="5" t="s">
        <v>398</v>
      </c>
      <c r="W970" s="4">
        <v>5214</v>
      </c>
      <c r="X970" s="4">
        <v>183592</v>
      </c>
      <c r="Y970" s="14">
        <v>44068</v>
      </c>
      <c r="Z970" s="14">
        <v>53225</v>
      </c>
      <c r="AA970" s="2"/>
      <c r="AB970" s="69" t="s">
        <v>3892</v>
      </c>
      <c r="AC970" s="5" t="s">
        <v>7</v>
      </c>
      <c r="AD970" s="84" t="s">
        <v>4179</v>
      </c>
      <c r="AE970" s="6"/>
      <c r="AF970" s="23"/>
      <c r="AG970" s="14">
        <v>47623</v>
      </c>
      <c r="AH970" s="5" t="s">
        <v>2</v>
      </c>
      <c r="AI970" s="5" t="s">
        <v>2675</v>
      </c>
      <c r="AJ970" s="5" t="s">
        <v>824</v>
      </c>
      <c r="AK970" s="21" t="s">
        <v>2</v>
      </c>
      <c r="AL970" s="72" t="s">
        <v>2745</v>
      </c>
      <c r="AM970" s="54" t="s">
        <v>4179</v>
      </c>
      <c r="AN970" s="34" t="s">
        <v>819</v>
      </c>
    </row>
    <row r="971" spans="2:40" x14ac:dyDescent="0.3">
      <c r="B971" s="18" t="s">
        <v>2951</v>
      </c>
      <c r="C971" s="47" t="s">
        <v>2451</v>
      </c>
      <c r="D971" s="15" t="s">
        <v>3583</v>
      </c>
      <c r="E971" s="68" t="s">
        <v>2</v>
      </c>
      <c r="F971" s="55" t="s">
        <v>2</v>
      </c>
      <c r="G971" s="40" t="s">
        <v>1921</v>
      </c>
      <c r="H971" s="71" t="s">
        <v>3894</v>
      </c>
      <c r="I971" s="67" t="s">
        <v>8</v>
      </c>
      <c r="J971" s="73" t="s">
        <v>270</v>
      </c>
      <c r="K971" s="4">
        <v>4043035</v>
      </c>
      <c r="L971" s="41">
        <v>86.528000000000006</v>
      </c>
      <c r="M971" s="4">
        <v>3498990</v>
      </c>
      <c r="N971" s="4">
        <v>4043750</v>
      </c>
      <c r="O971" s="4">
        <v>4043190</v>
      </c>
      <c r="P971" s="4">
        <v>0</v>
      </c>
      <c r="Q971" s="4">
        <v>68</v>
      </c>
      <c r="R971" s="4">
        <v>0</v>
      </c>
      <c r="S971" s="4">
        <v>0</v>
      </c>
      <c r="T971" s="23">
        <v>3.74</v>
      </c>
      <c r="U971" s="23">
        <v>3.7730000000000001</v>
      </c>
      <c r="V971" s="5" t="s">
        <v>398</v>
      </c>
      <c r="W971" s="4">
        <v>4621</v>
      </c>
      <c r="X971" s="4">
        <v>151236</v>
      </c>
      <c r="Y971" s="14">
        <v>44068</v>
      </c>
      <c r="Z971" s="14">
        <v>53225</v>
      </c>
      <c r="AA971" s="2"/>
      <c r="AB971" s="69" t="s">
        <v>3892</v>
      </c>
      <c r="AC971" s="5" t="s">
        <v>7</v>
      </c>
      <c r="AD971" s="84" t="s">
        <v>4179</v>
      </c>
      <c r="AE971" s="6"/>
      <c r="AF971" s="23"/>
      <c r="AG971" s="14">
        <v>47623</v>
      </c>
      <c r="AH971" s="5" t="s">
        <v>2</v>
      </c>
      <c r="AI971" s="5" t="s">
        <v>2675</v>
      </c>
      <c r="AJ971" s="5" t="s">
        <v>824</v>
      </c>
      <c r="AK971" s="21" t="s">
        <v>2</v>
      </c>
      <c r="AL971" s="72" t="s">
        <v>2745</v>
      </c>
      <c r="AM971" s="54" t="s">
        <v>4179</v>
      </c>
      <c r="AN971" s="34" t="s">
        <v>1189</v>
      </c>
    </row>
    <row r="972" spans="2:40" x14ac:dyDescent="0.3">
      <c r="B972" s="18" t="s">
        <v>4430</v>
      </c>
      <c r="C972" s="47" t="s">
        <v>430</v>
      </c>
      <c r="D972" s="15" t="s">
        <v>2452</v>
      </c>
      <c r="E972" s="68" t="s">
        <v>2</v>
      </c>
      <c r="F972" s="55" t="s">
        <v>2</v>
      </c>
      <c r="G972" s="40" t="s">
        <v>2745</v>
      </c>
      <c r="H972" s="71" t="s">
        <v>2745</v>
      </c>
      <c r="I972" s="67" t="s">
        <v>2274</v>
      </c>
      <c r="J972" s="73" t="s">
        <v>270</v>
      </c>
      <c r="K972" s="4">
        <v>6524503</v>
      </c>
      <c r="L972" s="41">
        <v>92.082999999999998</v>
      </c>
      <c r="M972" s="4">
        <v>5791969</v>
      </c>
      <c r="N972" s="4">
        <v>6289951</v>
      </c>
      <c r="O972" s="4">
        <v>6443835</v>
      </c>
      <c r="P972" s="4">
        <v>0</v>
      </c>
      <c r="Q972" s="4">
        <v>-29915</v>
      </c>
      <c r="R972" s="4">
        <v>0</v>
      </c>
      <c r="S972" s="4">
        <v>0</v>
      </c>
      <c r="T972" s="23">
        <v>2.6949999999999998</v>
      </c>
      <c r="U972" s="23">
        <v>2.0390000000000001</v>
      </c>
      <c r="V972" s="5" t="s">
        <v>3409</v>
      </c>
      <c r="W972" s="4">
        <v>23073</v>
      </c>
      <c r="X972" s="4">
        <v>169514</v>
      </c>
      <c r="Y972" s="14">
        <v>43873</v>
      </c>
      <c r="Z972" s="14">
        <v>46519</v>
      </c>
      <c r="AA972" s="2"/>
      <c r="AB972" s="69" t="s">
        <v>3892</v>
      </c>
      <c r="AC972" s="5" t="s">
        <v>7</v>
      </c>
      <c r="AD972" s="84" t="s">
        <v>4179</v>
      </c>
      <c r="AE972" s="6"/>
      <c r="AF972" s="23"/>
      <c r="AG972" s="10"/>
      <c r="AH972" s="5" t="s">
        <v>2</v>
      </c>
      <c r="AI972" s="5" t="s">
        <v>3813</v>
      </c>
      <c r="AJ972" s="5" t="s">
        <v>3813</v>
      </c>
      <c r="AK972" s="21" t="s">
        <v>2</v>
      </c>
      <c r="AL972" s="72" t="s">
        <v>2745</v>
      </c>
      <c r="AM972" s="54" t="s">
        <v>4179</v>
      </c>
      <c r="AN972" s="34" t="s">
        <v>1408</v>
      </c>
    </row>
    <row r="973" spans="2:40" x14ac:dyDescent="0.3">
      <c r="B973" s="18" t="s">
        <v>1824</v>
      </c>
      <c r="C973" s="47" t="s">
        <v>4092</v>
      </c>
      <c r="D973" s="15" t="s">
        <v>3814</v>
      </c>
      <c r="E973" s="68" t="s">
        <v>2</v>
      </c>
      <c r="F973" s="55" t="s">
        <v>2</v>
      </c>
      <c r="G973" s="40" t="s">
        <v>2745</v>
      </c>
      <c r="H973" s="71" t="s">
        <v>2745</v>
      </c>
      <c r="I973" s="67" t="s">
        <v>287</v>
      </c>
      <c r="J973" s="73" t="s">
        <v>270</v>
      </c>
      <c r="K973" s="4">
        <v>4439163</v>
      </c>
      <c r="L973" s="41">
        <v>80.677999999999997</v>
      </c>
      <c r="M973" s="4">
        <v>3568083</v>
      </c>
      <c r="N973" s="4">
        <v>4422622</v>
      </c>
      <c r="O973" s="4">
        <v>4435658</v>
      </c>
      <c r="P973" s="4">
        <v>0</v>
      </c>
      <c r="Q973" s="4">
        <v>-1337</v>
      </c>
      <c r="R973" s="4">
        <v>0</v>
      </c>
      <c r="S973" s="4">
        <v>0</v>
      </c>
      <c r="T973" s="23">
        <v>2.7</v>
      </c>
      <c r="U973" s="23">
        <v>2.65</v>
      </c>
      <c r="V973" s="5" t="s">
        <v>3409</v>
      </c>
      <c r="W973" s="4">
        <v>19902</v>
      </c>
      <c r="X973" s="4">
        <v>119411</v>
      </c>
      <c r="Y973" s="14">
        <v>43815</v>
      </c>
      <c r="Z973" s="14">
        <v>48335</v>
      </c>
      <c r="AA973" s="2"/>
      <c r="AB973" s="69" t="s">
        <v>3892</v>
      </c>
      <c r="AC973" s="5" t="s">
        <v>4178</v>
      </c>
      <c r="AD973" s="84" t="s">
        <v>4179</v>
      </c>
      <c r="AE973" s="6"/>
      <c r="AF973" s="23"/>
      <c r="AG973" s="10"/>
      <c r="AH973" s="5" t="s">
        <v>2</v>
      </c>
      <c r="AI973" s="5" t="s">
        <v>1551</v>
      </c>
      <c r="AJ973" s="5" t="s">
        <v>1551</v>
      </c>
      <c r="AK973" s="21" t="s">
        <v>2</v>
      </c>
      <c r="AL973" s="72" t="s">
        <v>2745</v>
      </c>
      <c r="AM973" s="54" t="s">
        <v>4179</v>
      </c>
      <c r="AN973" s="34" t="s">
        <v>819</v>
      </c>
    </row>
    <row r="974" spans="2:40" x14ac:dyDescent="0.3">
      <c r="B974" s="18" t="s">
        <v>2952</v>
      </c>
      <c r="C974" s="47" t="s">
        <v>3815</v>
      </c>
      <c r="D974" s="15" t="s">
        <v>431</v>
      </c>
      <c r="E974" s="68" t="s">
        <v>2</v>
      </c>
      <c r="F974" s="55" t="s">
        <v>2</v>
      </c>
      <c r="G974" s="40" t="s">
        <v>3894</v>
      </c>
      <c r="H974" s="71" t="s">
        <v>2745</v>
      </c>
      <c r="I974" s="67" t="s">
        <v>3408</v>
      </c>
      <c r="J974" s="73" t="s">
        <v>270</v>
      </c>
      <c r="K974" s="4">
        <v>1897390</v>
      </c>
      <c r="L974" s="41">
        <v>96.956999999999994</v>
      </c>
      <c r="M974" s="4">
        <v>1826562</v>
      </c>
      <c r="N974" s="4">
        <v>1883883</v>
      </c>
      <c r="O974" s="4">
        <v>1891921</v>
      </c>
      <c r="P974" s="4">
        <v>0</v>
      </c>
      <c r="Q974" s="4">
        <v>-1352</v>
      </c>
      <c r="R974" s="4">
        <v>0</v>
      </c>
      <c r="S974" s="4">
        <v>0</v>
      </c>
      <c r="T974" s="23">
        <v>3.56</v>
      </c>
      <c r="U974" s="23">
        <v>3.4180000000000001</v>
      </c>
      <c r="V974" s="5" t="s">
        <v>398</v>
      </c>
      <c r="W974" s="4">
        <v>2049</v>
      </c>
      <c r="X974" s="4">
        <v>67066</v>
      </c>
      <c r="Y974" s="14">
        <v>43551</v>
      </c>
      <c r="Z974" s="14">
        <v>49725</v>
      </c>
      <c r="AA974" s="2"/>
      <c r="AB974" s="69" t="s">
        <v>3892</v>
      </c>
      <c r="AC974" s="5" t="s">
        <v>7</v>
      </c>
      <c r="AD974" s="84" t="s">
        <v>161</v>
      </c>
      <c r="AE974" s="14">
        <v>46285</v>
      </c>
      <c r="AF974" s="23">
        <v>100</v>
      </c>
      <c r="AG974" s="14">
        <v>46863</v>
      </c>
      <c r="AH974" s="5" t="s">
        <v>2</v>
      </c>
      <c r="AI974" s="5" t="s">
        <v>4431</v>
      </c>
      <c r="AJ974" s="5" t="s">
        <v>824</v>
      </c>
      <c r="AK974" s="21" t="s">
        <v>2</v>
      </c>
      <c r="AL974" s="72" t="s">
        <v>2745</v>
      </c>
      <c r="AM974" s="54" t="s">
        <v>4179</v>
      </c>
      <c r="AN974" s="34" t="s">
        <v>2278</v>
      </c>
    </row>
    <row r="975" spans="2:40" x14ac:dyDescent="0.3">
      <c r="B975" s="18" t="s">
        <v>4093</v>
      </c>
      <c r="C975" s="47" t="s">
        <v>3816</v>
      </c>
      <c r="D975" s="15" t="s">
        <v>3284</v>
      </c>
      <c r="E975" s="68" t="s">
        <v>2</v>
      </c>
      <c r="F975" s="55" t="s">
        <v>2</v>
      </c>
      <c r="G975" s="40" t="s">
        <v>3894</v>
      </c>
      <c r="H975" s="71" t="s">
        <v>2745</v>
      </c>
      <c r="I975" s="67" t="s">
        <v>3408</v>
      </c>
      <c r="J975" s="73" t="s">
        <v>270</v>
      </c>
      <c r="K975" s="4">
        <v>4398940</v>
      </c>
      <c r="L975" s="41">
        <v>97.811999999999998</v>
      </c>
      <c r="M975" s="4">
        <v>4303746</v>
      </c>
      <c r="N975" s="4">
        <v>4400000</v>
      </c>
      <c r="O975" s="4">
        <v>4399591</v>
      </c>
      <c r="P975" s="4">
        <v>0</v>
      </c>
      <c r="Q975" s="4">
        <v>214</v>
      </c>
      <c r="R975" s="4">
        <v>0</v>
      </c>
      <c r="S975" s="4">
        <v>0</v>
      </c>
      <c r="T975" s="23">
        <v>2.5</v>
      </c>
      <c r="U975" s="23">
        <v>2.5179999999999998</v>
      </c>
      <c r="V975" s="5" t="s">
        <v>398</v>
      </c>
      <c r="W975" s="4">
        <v>4889</v>
      </c>
      <c r="X975" s="4">
        <v>110000</v>
      </c>
      <c r="Y975" s="14">
        <v>43774</v>
      </c>
      <c r="Z975" s="14">
        <v>46524</v>
      </c>
      <c r="AA975" s="2"/>
      <c r="AB975" s="69" t="s">
        <v>3892</v>
      </c>
      <c r="AC975" s="5" t="s">
        <v>7</v>
      </c>
      <c r="AD975" s="84" t="s">
        <v>4179</v>
      </c>
      <c r="AE975" s="14">
        <v>45122</v>
      </c>
      <c r="AF975" s="23">
        <v>100</v>
      </c>
      <c r="AG975" s="14">
        <v>45458</v>
      </c>
      <c r="AH975" s="5" t="s">
        <v>2</v>
      </c>
      <c r="AI975" s="5" t="s">
        <v>2150</v>
      </c>
      <c r="AJ975" s="5" t="s">
        <v>824</v>
      </c>
      <c r="AK975" s="21" t="s">
        <v>2</v>
      </c>
      <c r="AL975" s="72" t="s">
        <v>2745</v>
      </c>
      <c r="AM975" s="54" t="s">
        <v>4179</v>
      </c>
      <c r="AN975" s="34" t="s">
        <v>2278</v>
      </c>
    </row>
    <row r="976" spans="2:40" x14ac:dyDescent="0.3">
      <c r="B976" s="18" t="s">
        <v>687</v>
      </c>
      <c r="C976" s="47" t="s">
        <v>2953</v>
      </c>
      <c r="D976" s="15" t="s">
        <v>4432</v>
      </c>
      <c r="E976" s="68" t="s">
        <v>2</v>
      </c>
      <c r="F976" s="55" t="s">
        <v>2</v>
      </c>
      <c r="G976" s="40" t="s">
        <v>3894</v>
      </c>
      <c r="H976" s="71" t="s">
        <v>3894</v>
      </c>
      <c r="I976" s="67" t="s">
        <v>8</v>
      </c>
      <c r="J976" s="73" t="s">
        <v>270</v>
      </c>
      <c r="K976" s="4">
        <v>3640000</v>
      </c>
      <c r="L976" s="41">
        <v>91.96</v>
      </c>
      <c r="M976" s="4">
        <v>3347344</v>
      </c>
      <c r="N976" s="4">
        <v>3640000</v>
      </c>
      <c r="O976" s="4">
        <v>3640000</v>
      </c>
      <c r="P976" s="4">
        <v>0</v>
      </c>
      <c r="Q976" s="4">
        <v>0</v>
      </c>
      <c r="R976" s="4">
        <v>0</v>
      </c>
      <c r="S976" s="4">
        <v>0</v>
      </c>
      <c r="T976" s="23">
        <v>3.7829999999999999</v>
      </c>
      <c r="U976" s="23">
        <v>3.8</v>
      </c>
      <c r="V976" s="5" t="s">
        <v>329</v>
      </c>
      <c r="W976" s="4">
        <v>6120</v>
      </c>
      <c r="X976" s="4">
        <v>137701</v>
      </c>
      <c r="Y976" s="9">
        <v>43629</v>
      </c>
      <c r="Z976" s="9">
        <v>54589</v>
      </c>
      <c r="AA976" s="2"/>
      <c r="AB976" s="69" t="s">
        <v>3892</v>
      </c>
      <c r="AC976" s="5" t="s">
        <v>7</v>
      </c>
      <c r="AD976" s="84" t="s">
        <v>161</v>
      </c>
      <c r="AE976" s="9">
        <v>45366</v>
      </c>
      <c r="AF976" s="23">
        <v>100</v>
      </c>
      <c r="AG976" s="9">
        <v>46280</v>
      </c>
      <c r="AH976" s="5" t="s">
        <v>2</v>
      </c>
      <c r="AI976" s="5" t="s">
        <v>2151</v>
      </c>
      <c r="AJ976" s="5" t="s">
        <v>824</v>
      </c>
      <c r="AK976" s="21" t="s">
        <v>2</v>
      </c>
      <c r="AL976" s="72" t="s">
        <v>2745</v>
      </c>
      <c r="AM976" s="54" t="s">
        <v>4179</v>
      </c>
      <c r="AN976" s="34" t="s">
        <v>1189</v>
      </c>
    </row>
    <row r="977" spans="2:40" x14ac:dyDescent="0.3">
      <c r="B977" s="18" t="s">
        <v>1825</v>
      </c>
      <c r="C977" s="47" t="s">
        <v>4094</v>
      </c>
      <c r="D977" s="15" t="s">
        <v>1552</v>
      </c>
      <c r="E977" s="68" t="s">
        <v>2</v>
      </c>
      <c r="F977" s="55" t="s">
        <v>2</v>
      </c>
      <c r="G977" s="40" t="s">
        <v>3894</v>
      </c>
      <c r="H977" s="71" t="s">
        <v>3894</v>
      </c>
      <c r="I977" s="67" t="s">
        <v>8</v>
      </c>
      <c r="J977" s="73" t="s">
        <v>270</v>
      </c>
      <c r="K977" s="4">
        <v>9850000</v>
      </c>
      <c r="L977" s="41">
        <v>77.867999999999995</v>
      </c>
      <c r="M977" s="4">
        <v>7669949</v>
      </c>
      <c r="N977" s="4">
        <v>9850000</v>
      </c>
      <c r="O977" s="4">
        <v>9850000</v>
      </c>
      <c r="P977" s="4">
        <v>0</v>
      </c>
      <c r="Q977" s="4">
        <v>0</v>
      </c>
      <c r="R977" s="4">
        <v>0</v>
      </c>
      <c r="S977" s="4">
        <v>0</v>
      </c>
      <c r="T977" s="23">
        <v>2.7749999999999999</v>
      </c>
      <c r="U977" s="23">
        <v>2.7850000000000001</v>
      </c>
      <c r="V977" s="5" t="s">
        <v>329</v>
      </c>
      <c r="W977" s="4">
        <v>12148</v>
      </c>
      <c r="X977" s="4">
        <v>273337</v>
      </c>
      <c r="Y977" s="9">
        <v>44363</v>
      </c>
      <c r="Z977" s="9">
        <v>55319</v>
      </c>
      <c r="AA977" s="2"/>
      <c r="AB977" s="69" t="s">
        <v>3892</v>
      </c>
      <c r="AC977" s="5" t="s">
        <v>7</v>
      </c>
      <c r="AD977" s="84" t="s">
        <v>3564</v>
      </c>
      <c r="AE977" s="9">
        <v>46553</v>
      </c>
      <c r="AF977" s="23">
        <v>100</v>
      </c>
      <c r="AG977" s="9">
        <v>48014</v>
      </c>
      <c r="AH977" s="5" t="s">
        <v>2</v>
      </c>
      <c r="AI977" s="5" t="s">
        <v>4433</v>
      </c>
      <c r="AJ977" s="5" t="s">
        <v>824</v>
      </c>
      <c r="AK977" s="21" t="s">
        <v>2</v>
      </c>
      <c r="AL977" s="72" t="s">
        <v>2745</v>
      </c>
      <c r="AM977" s="54" t="s">
        <v>4179</v>
      </c>
      <c r="AN977" s="34" t="s">
        <v>1189</v>
      </c>
    </row>
    <row r="978" spans="2:40" x14ac:dyDescent="0.3">
      <c r="B978" s="18" t="s">
        <v>2954</v>
      </c>
      <c r="C978" s="47" t="s">
        <v>3817</v>
      </c>
      <c r="D978" s="15" t="s">
        <v>3818</v>
      </c>
      <c r="E978" s="68" t="s">
        <v>2</v>
      </c>
      <c r="F978" s="55" t="s">
        <v>2</v>
      </c>
      <c r="G978" s="40" t="s">
        <v>2</v>
      </c>
      <c r="H978" s="71" t="s">
        <v>2745</v>
      </c>
      <c r="I978" s="67" t="s">
        <v>3408</v>
      </c>
      <c r="J978" s="73" t="s">
        <v>270</v>
      </c>
      <c r="K978" s="4">
        <v>5795336</v>
      </c>
      <c r="L978" s="41">
        <v>86.709000000000003</v>
      </c>
      <c r="M978" s="4">
        <v>5025097</v>
      </c>
      <c r="N978" s="4">
        <v>5795375</v>
      </c>
      <c r="O978" s="4">
        <v>5795361</v>
      </c>
      <c r="P978" s="4">
        <v>0</v>
      </c>
      <c r="Q978" s="4">
        <v>0</v>
      </c>
      <c r="R978" s="4">
        <v>0</v>
      </c>
      <c r="S978" s="4">
        <v>0</v>
      </c>
      <c r="T978" s="23">
        <v>1.5780000000000001</v>
      </c>
      <c r="U978" s="23">
        <v>1.5780000000000001</v>
      </c>
      <c r="V978" s="5" t="s">
        <v>3898</v>
      </c>
      <c r="W978" s="4">
        <v>4064</v>
      </c>
      <c r="X978" s="4">
        <v>91451</v>
      </c>
      <c r="Y978" s="9">
        <v>44320</v>
      </c>
      <c r="Z978" s="9">
        <v>49658</v>
      </c>
      <c r="AA978" s="2"/>
      <c r="AB978" s="69" t="s">
        <v>3892</v>
      </c>
      <c r="AC978" s="5" t="s">
        <v>7</v>
      </c>
      <c r="AD978" s="84" t="s">
        <v>3564</v>
      </c>
      <c r="AE978" s="6"/>
      <c r="AF978" s="23"/>
      <c r="AG978" s="9">
        <v>48928</v>
      </c>
      <c r="AH978" s="5" t="s">
        <v>2</v>
      </c>
      <c r="AI978" s="5" t="s">
        <v>2955</v>
      </c>
      <c r="AJ978" s="5" t="s">
        <v>2955</v>
      </c>
      <c r="AK978" s="21" t="s">
        <v>2</v>
      </c>
      <c r="AL978" s="72" t="s">
        <v>2745</v>
      </c>
      <c r="AM978" s="54" t="s">
        <v>4179</v>
      </c>
      <c r="AN978" s="34" t="s">
        <v>2278</v>
      </c>
    </row>
    <row r="979" spans="2:40" x14ac:dyDescent="0.3">
      <c r="B979" s="18" t="s">
        <v>4095</v>
      </c>
      <c r="C979" s="47" t="s">
        <v>178</v>
      </c>
      <c r="D979" s="15" t="s">
        <v>4434</v>
      </c>
      <c r="E979" s="68" t="s">
        <v>2</v>
      </c>
      <c r="F979" s="55" t="s">
        <v>2</v>
      </c>
      <c r="G979" s="40" t="s">
        <v>3894</v>
      </c>
      <c r="H979" s="71" t="s">
        <v>2745</v>
      </c>
      <c r="I979" s="67" t="s">
        <v>287</v>
      </c>
      <c r="J979" s="73" t="s">
        <v>270</v>
      </c>
      <c r="K979" s="4">
        <v>9999583</v>
      </c>
      <c r="L979" s="41">
        <v>93.319000000000003</v>
      </c>
      <c r="M979" s="4">
        <v>9331902</v>
      </c>
      <c r="N979" s="4">
        <v>10000000</v>
      </c>
      <c r="O979" s="4">
        <v>9999691</v>
      </c>
      <c r="P979" s="4">
        <v>0</v>
      </c>
      <c r="Q979" s="4">
        <v>108</v>
      </c>
      <c r="R979" s="4">
        <v>0</v>
      </c>
      <c r="S979" s="4">
        <v>0</v>
      </c>
      <c r="T979" s="23">
        <v>3.2</v>
      </c>
      <c r="U979" s="23">
        <v>3.2229999999999999</v>
      </c>
      <c r="V979" s="5" t="s">
        <v>398</v>
      </c>
      <c r="W979" s="4">
        <v>11556</v>
      </c>
      <c r="X979" s="4">
        <v>240889</v>
      </c>
      <c r="Y979" s="9">
        <v>44631</v>
      </c>
      <c r="Z979" s="9">
        <v>49966</v>
      </c>
      <c r="AA979" s="2"/>
      <c r="AB979" s="69" t="s">
        <v>3892</v>
      </c>
      <c r="AC979" s="5" t="s">
        <v>7</v>
      </c>
      <c r="AD979" s="84" t="s">
        <v>1921</v>
      </c>
      <c r="AE979" s="9">
        <v>45553</v>
      </c>
      <c r="AF979" s="23">
        <v>100</v>
      </c>
      <c r="AG979" s="9">
        <v>45675</v>
      </c>
      <c r="AH979" s="5" t="s">
        <v>2</v>
      </c>
      <c r="AI979" s="5" t="s">
        <v>3819</v>
      </c>
      <c r="AJ979" s="5" t="s">
        <v>824</v>
      </c>
      <c r="AK979" s="21" t="s">
        <v>2</v>
      </c>
      <c r="AL979" s="72" t="s">
        <v>825</v>
      </c>
      <c r="AM979" s="54" t="s">
        <v>4179</v>
      </c>
      <c r="AN979" s="34" t="s">
        <v>819</v>
      </c>
    </row>
    <row r="980" spans="2:40" x14ac:dyDescent="0.3">
      <c r="B980" s="18" t="s">
        <v>1030</v>
      </c>
      <c r="C980" s="47" t="s">
        <v>1328</v>
      </c>
      <c r="D980" s="15" t="s">
        <v>1553</v>
      </c>
      <c r="E980" s="68" t="s">
        <v>2</v>
      </c>
      <c r="F980" s="55" t="s">
        <v>2</v>
      </c>
      <c r="G980" s="40" t="s">
        <v>1921</v>
      </c>
      <c r="H980" s="71" t="s">
        <v>2745</v>
      </c>
      <c r="I980" s="67" t="s">
        <v>3408</v>
      </c>
      <c r="J980" s="73" t="s">
        <v>270</v>
      </c>
      <c r="K980" s="4">
        <v>5249301</v>
      </c>
      <c r="L980" s="41">
        <v>99.792000000000002</v>
      </c>
      <c r="M980" s="4">
        <v>5239062</v>
      </c>
      <c r="N980" s="4">
        <v>5250000</v>
      </c>
      <c r="O980" s="4">
        <v>5249828</v>
      </c>
      <c r="P980" s="4">
        <v>0</v>
      </c>
      <c r="Q980" s="4">
        <v>125</v>
      </c>
      <c r="R980" s="4">
        <v>0</v>
      </c>
      <c r="S980" s="4">
        <v>0</v>
      </c>
      <c r="T980" s="23">
        <v>3.34</v>
      </c>
      <c r="U980" s="23">
        <v>3.3660000000000001</v>
      </c>
      <c r="V980" s="5" t="s">
        <v>398</v>
      </c>
      <c r="W980" s="4">
        <v>7793</v>
      </c>
      <c r="X980" s="4">
        <v>175350</v>
      </c>
      <c r="Y980" s="9">
        <v>43488</v>
      </c>
      <c r="Z980" s="9">
        <v>45824</v>
      </c>
      <c r="AA980" s="2"/>
      <c r="AB980" s="69" t="s">
        <v>3892</v>
      </c>
      <c r="AC980" s="5" t="s">
        <v>4178</v>
      </c>
      <c r="AD980" s="84" t="s">
        <v>1921</v>
      </c>
      <c r="AE980" s="6"/>
      <c r="AF980" s="23"/>
      <c r="AG980" s="9">
        <v>45458</v>
      </c>
      <c r="AH980" s="5" t="s">
        <v>2</v>
      </c>
      <c r="AI980" s="5" t="s">
        <v>3285</v>
      </c>
      <c r="AJ980" s="5" t="s">
        <v>3285</v>
      </c>
      <c r="AK980" s="21" t="s">
        <v>2</v>
      </c>
      <c r="AL980" s="72" t="s">
        <v>2745</v>
      </c>
      <c r="AM980" s="54" t="s">
        <v>4179</v>
      </c>
      <c r="AN980" s="34" t="s">
        <v>2278</v>
      </c>
    </row>
    <row r="981" spans="2:40" x14ac:dyDescent="0.3">
      <c r="B981" s="18" t="s">
        <v>2152</v>
      </c>
      <c r="C981" s="47" t="s">
        <v>3286</v>
      </c>
      <c r="D981" s="15" t="s">
        <v>1553</v>
      </c>
      <c r="E981" s="68" t="s">
        <v>2</v>
      </c>
      <c r="F981" s="55" t="s">
        <v>2</v>
      </c>
      <c r="G981" s="40" t="s">
        <v>3894</v>
      </c>
      <c r="H981" s="71" t="s">
        <v>2745</v>
      </c>
      <c r="I981" s="67" t="s">
        <v>1164</v>
      </c>
      <c r="J981" s="73" t="s">
        <v>270</v>
      </c>
      <c r="K981" s="4">
        <v>8998586</v>
      </c>
      <c r="L981" s="41">
        <v>90.665999999999997</v>
      </c>
      <c r="M981" s="4">
        <v>8159919</v>
      </c>
      <c r="N981" s="4">
        <v>9000000</v>
      </c>
      <c r="O981" s="4">
        <v>8999152</v>
      </c>
      <c r="P981" s="4">
        <v>0</v>
      </c>
      <c r="Q981" s="4">
        <v>279</v>
      </c>
      <c r="R981" s="4">
        <v>0</v>
      </c>
      <c r="S981" s="4">
        <v>0</v>
      </c>
      <c r="T981" s="23">
        <v>0.64</v>
      </c>
      <c r="U981" s="23">
        <v>0.64400000000000002</v>
      </c>
      <c r="V981" s="5" t="s">
        <v>398</v>
      </c>
      <c r="W981" s="4">
        <v>2560</v>
      </c>
      <c r="X981" s="4">
        <v>57600</v>
      </c>
      <c r="Y981" s="9">
        <v>44230</v>
      </c>
      <c r="Z981" s="9">
        <v>46371</v>
      </c>
      <c r="AA981" s="2"/>
      <c r="AB981" s="69" t="s">
        <v>3892</v>
      </c>
      <c r="AC981" s="5" t="s">
        <v>4178</v>
      </c>
      <c r="AD981" s="84" t="s">
        <v>3564</v>
      </c>
      <c r="AE981" s="9">
        <v>45641</v>
      </c>
      <c r="AF981" s="23">
        <v>100</v>
      </c>
      <c r="AG981" s="9">
        <v>46037</v>
      </c>
      <c r="AH981" s="5" t="s">
        <v>2</v>
      </c>
      <c r="AI981" s="5" t="s">
        <v>3285</v>
      </c>
      <c r="AJ981" s="5" t="s">
        <v>3285</v>
      </c>
      <c r="AK981" s="21" t="s">
        <v>2</v>
      </c>
      <c r="AL981" s="72" t="s">
        <v>2745</v>
      </c>
      <c r="AM981" s="54" t="s">
        <v>4179</v>
      </c>
      <c r="AN981" s="34" t="s">
        <v>1625</v>
      </c>
    </row>
    <row r="982" spans="2:40" x14ac:dyDescent="0.3">
      <c r="B982" s="18" t="s">
        <v>3287</v>
      </c>
      <c r="C982" s="47" t="s">
        <v>1826</v>
      </c>
      <c r="D982" s="15" t="s">
        <v>1553</v>
      </c>
      <c r="E982" s="68" t="s">
        <v>2</v>
      </c>
      <c r="F982" s="55" t="s">
        <v>2</v>
      </c>
      <c r="G982" s="40" t="s">
        <v>3894</v>
      </c>
      <c r="H982" s="71" t="s">
        <v>2745</v>
      </c>
      <c r="I982" s="67" t="s">
        <v>287</v>
      </c>
      <c r="J982" s="73" t="s">
        <v>270</v>
      </c>
      <c r="K982" s="4">
        <v>3349577</v>
      </c>
      <c r="L982" s="41">
        <v>89.222999999999999</v>
      </c>
      <c r="M982" s="4">
        <v>2988965</v>
      </c>
      <c r="N982" s="4">
        <v>3350000</v>
      </c>
      <c r="O982" s="4">
        <v>3349729</v>
      </c>
      <c r="P982" s="4">
        <v>0</v>
      </c>
      <c r="Q982" s="4">
        <v>75</v>
      </c>
      <c r="R982" s="4">
        <v>0</v>
      </c>
      <c r="S982" s="4">
        <v>0</v>
      </c>
      <c r="T982" s="23">
        <v>0.89</v>
      </c>
      <c r="U982" s="23">
        <v>0.89400000000000002</v>
      </c>
      <c r="V982" s="5" t="s">
        <v>398</v>
      </c>
      <c r="W982" s="4">
        <v>1325</v>
      </c>
      <c r="X982" s="4">
        <v>29815</v>
      </c>
      <c r="Y982" s="9">
        <v>44230</v>
      </c>
      <c r="Z982" s="9">
        <v>46615</v>
      </c>
      <c r="AA982" s="2"/>
      <c r="AB982" s="69" t="s">
        <v>3892</v>
      </c>
      <c r="AC982" s="5" t="s">
        <v>7</v>
      </c>
      <c r="AD982" s="84" t="s">
        <v>3564</v>
      </c>
      <c r="AE982" s="9">
        <v>45641</v>
      </c>
      <c r="AF982" s="23">
        <v>100</v>
      </c>
      <c r="AG982" s="9">
        <v>46218</v>
      </c>
      <c r="AH982" s="5" t="s">
        <v>2</v>
      </c>
      <c r="AI982" s="5" t="s">
        <v>3285</v>
      </c>
      <c r="AJ982" s="5" t="s">
        <v>3285</v>
      </c>
      <c r="AK982" s="21" t="s">
        <v>2</v>
      </c>
      <c r="AL982" s="72" t="s">
        <v>2745</v>
      </c>
      <c r="AM982" s="54" t="s">
        <v>4179</v>
      </c>
      <c r="AN982" s="34" t="s">
        <v>819</v>
      </c>
    </row>
    <row r="983" spans="2:40" x14ac:dyDescent="0.3">
      <c r="B983" s="18" t="s">
        <v>688</v>
      </c>
      <c r="C983" s="47" t="s">
        <v>689</v>
      </c>
      <c r="D983" s="15" t="s">
        <v>2453</v>
      </c>
      <c r="E983" s="68" t="s">
        <v>2</v>
      </c>
      <c r="F983" s="55" t="s">
        <v>2</v>
      </c>
      <c r="G983" s="40" t="s">
        <v>2745</v>
      </c>
      <c r="H983" s="71" t="s">
        <v>2745</v>
      </c>
      <c r="I983" s="67" t="s">
        <v>287</v>
      </c>
      <c r="J983" s="73" t="s">
        <v>270</v>
      </c>
      <c r="K983" s="4">
        <v>2385600</v>
      </c>
      <c r="L983" s="41">
        <v>84.590999999999994</v>
      </c>
      <c r="M983" s="4">
        <v>2018003</v>
      </c>
      <c r="N983" s="4">
        <v>2385600</v>
      </c>
      <c r="O983" s="4">
        <v>2385600</v>
      </c>
      <c r="P983" s="4">
        <v>0</v>
      </c>
      <c r="Q983" s="4">
        <v>0</v>
      </c>
      <c r="R983" s="4">
        <v>0</v>
      </c>
      <c r="S983" s="4">
        <v>0</v>
      </c>
      <c r="T983" s="23">
        <v>3.3</v>
      </c>
      <c r="U983" s="23">
        <v>3.2989999999999999</v>
      </c>
      <c r="V983" s="5" t="s">
        <v>1916</v>
      </c>
      <c r="W983" s="4">
        <v>36301</v>
      </c>
      <c r="X983" s="4">
        <v>78725</v>
      </c>
      <c r="Y983" s="9">
        <v>43076</v>
      </c>
      <c r="Z983" s="9">
        <v>47498</v>
      </c>
      <c r="AA983" s="2"/>
      <c r="AB983" s="69" t="s">
        <v>3892</v>
      </c>
      <c r="AC983" s="5" t="s">
        <v>4178</v>
      </c>
      <c r="AD983" s="84" t="s">
        <v>4179</v>
      </c>
      <c r="AE983" s="6"/>
      <c r="AF983" s="23"/>
      <c r="AG983" s="9">
        <v>47314</v>
      </c>
      <c r="AH983" s="5" t="s">
        <v>2</v>
      </c>
      <c r="AI983" s="5" t="s">
        <v>432</v>
      </c>
      <c r="AJ983" s="5" t="s">
        <v>824</v>
      </c>
      <c r="AK983" s="21" t="s">
        <v>2</v>
      </c>
      <c r="AL983" s="72" t="s">
        <v>3894</v>
      </c>
      <c r="AM983" s="54" t="s">
        <v>4179</v>
      </c>
      <c r="AN983" s="34" t="s">
        <v>819</v>
      </c>
    </row>
    <row r="984" spans="2:40" x14ac:dyDescent="0.3">
      <c r="B984" s="18" t="s">
        <v>1827</v>
      </c>
      <c r="C984" s="47" t="s">
        <v>1554</v>
      </c>
      <c r="D984" s="15" t="s">
        <v>2454</v>
      </c>
      <c r="E984" s="68" t="s">
        <v>2</v>
      </c>
      <c r="F984" s="55" t="s">
        <v>2</v>
      </c>
      <c r="G984" s="40" t="s">
        <v>2745</v>
      </c>
      <c r="H984" s="71" t="s">
        <v>2745</v>
      </c>
      <c r="I984" s="67" t="s">
        <v>287</v>
      </c>
      <c r="J984" s="73" t="s">
        <v>270</v>
      </c>
      <c r="K984" s="4">
        <v>2034885</v>
      </c>
      <c r="L984" s="41">
        <v>89.412000000000006</v>
      </c>
      <c r="M984" s="4">
        <v>1799191</v>
      </c>
      <c r="N984" s="4">
        <v>2012248</v>
      </c>
      <c r="O984" s="4">
        <v>2023312</v>
      </c>
      <c r="P984" s="4">
        <v>0</v>
      </c>
      <c r="Q984" s="4">
        <v>-2075</v>
      </c>
      <c r="R984" s="4">
        <v>0</v>
      </c>
      <c r="S984" s="4">
        <v>0</v>
      </c>
      <c r="T984" s="23">
        <v>3.6</v>
      </c>
      <c r="U984" s="23">
        <v>3.4319999999999999</v>
      </c>
      <c r="V984" s="5" t="s">
        <v>10</v>
      </c>
      <c r="W984" s="4">
        <v>21330</v>
      </c>
      <c r="X984" s="4">
        <v>72441</v>
      </c>
      <c r="Y984" s="9">
        <v>42527</v>
      </c>
      <c r="Z984" s="9">
        <v>46461</v>
      </c>
      <c r="AA984" s="2"/>
      <c r="AB984" s="69" t="s">
        <v>3892</v>
      </c>
      <c r="AC984" s="5" t="s">
        <v>4178</v>
      </c>
      <c r="AD984" s="84" t="s">
        <v>4179</v>
      </c>
      <c r="AE984" s="6"/>
      <c r="AF984" s="23"/>
      <c r="AG984" s="6"/>
      <c r="AH984" s="5" t="s">
        <v>2</v>
      </c>
      <c r="AI984" s="5" t="s">
        <v>1031</v>
      </c>
      <c r="AJ984" s="5" t="s">
        <v>1997</v>
      </c>
      <c r="AK984" s="21" t="s">
        <v>2</v>
      </c>
      <c r="AL984" s="72" t="s">
        <v>3894</v>
      </c>
      <c r="AM984" s="54" t="s">
        <v>4179</v>
      </c>
      <c r="AN984" s="34" t="s">
        <v>819</v>
      </c>
    </row>
    <row r="985" spans="2:40" x14ac:dyDescent="0.3">
      <c r="B985" s="18" t="s">
        <v>2956</v>
      </c>
      <c r="C985" s="47" t="s">
        <v>4096</v>
      </c>
      <c r="D985" s="15" t="s">
        <v>1329</v>
      </c>
      <c r="E985" s="68" t="s">
        <v>2</v>
      </c>
      <c r="F985" s="55" t="s">
        <v>2</v>
      </c>
      <c r="G985" s="40" t="s">
        <v>2</v>
      </c>
      <c r="H985" s="71" t="s">
        <v>3894</v>
      </c>
      <c r="I985" s="67" t="s">
        <v>8</v>
      </c>
      <c r="J985" s="73" t="s">
        <v>270</v>
      </c>
      <c r="K985" s="4">
        <v>2499926</v>
      </c>
      <c r="L985" s="41">
        <v>99.843999999999994</v>
      </c>
      <c r="M985" s="4">
        <v>2496094</v>
      </c>
      <c r="N985" s="4">
        <v>2500000</v>
      </c>
      <c r="O985" s="4">
        <v>2499913</v>
      </c>
      <c r="P985" s="4">
        <v>0</v>
      </c>
      <c r="Q985" s="4">
        <v>-13</v>
      </c>
      <c r="R985" s="4">
        <v>0</v>
      </c>
      <c r="S985" s="4">
        <v>0</v>
      </c>
      <c r="T985" s="23">
        <v>7.44</v>
      </c>
      <c r="U985" s="23">
        <v>7.556</v>
      </c>
      <c r="V985" s="5" t="s">
        <v>398</v>
      </c>
      <c r="W985" s="4">
        <v>8267</v>
      </c>
      <c r="X985" s="4">
        <v>0</v>
      </c>
      <c r="Y985" s="9">
        <v>44902</v>
      </c>
      <c r="Z985" s="9">
        <v>46341</v>
      </c>
      <c r="AA985" s="2"/>
      <c r="AB985" s="69" t="s">
        <v>578</v>
      </c>
      <c r="AC985" s="5" t="s">
        <v>3488</v>
      </c>
      <c r="AD985" s="84" t="s">
        <v>1921</v>
      </c>
      <c r="AE985" s="6"/>
      <c r="AF985" s="23"/>
      <c r="AG985" s="9">
        <v>45611</v>
      </c>
      <c r="AH985" s="5" t="s">
        <v>2</v>
      </c>
      <c r="AI985" s="5" t="s">
        <v>3820</v>
      </c>
      <c r="AJ985" s="5" t="s">
        <v>824</v>
      </c>
      <c r="AK985" s="21" t="s">
        <v>2</v>
      </c>
      <c r="AL985" s="72" t="s">
        <v>825</v>
      </c>
      <c r="AM985" s="54" t="s">
        <v>4179</v>
      </c>
      <c r="AN985" s="34" t="s">
        <v>1189</v>
      </c>
    </row>
    <row r="986" spans="2:40" x14ac:dyDescent="0.3">
      <c r="B986" s="18" t="s">
        <v>4097</v>
      </c>
      <c r="C986" s="47" t="s">
        <v>3821</v>
      </c>
      <c r="D986" s="15" t="s">
        <v>1828</v>
      </c>
      <c r="E986" s="68" t="s">
        <v>2</v>
      </c>
      <c r="F986" s="55" t="s">
        <v>2</v>
      </c>
      <c r="G986" s="40" t="s">
        <v>2</v>
      </c>
      <c r="H986" s="71" t="s">
        <v>2745</v>
      </c>
      <c r="I986" s="67" t="s">
        <v>2274</v>
      </c>
      <c r="J986" s="73" t="s">
        <v>270</v>
      </c>
      <c r="K986" s="4">
        <v>1848207</v>
      </c>
      <c r="L986" s="41">
        <v>88.823999999999998</v>
      </c>
      <c r="M986" s="4">
        <v>1642355</v>
      </c>
      <c r="N986" s="4">
        <v>1849000</v>
      </c>
      <c r="O986" s="4">
        <v>1848351</v>
      </c>
      <c r="P986" s="4">
        <v>0</v>
      </c>
      <c r="Q986" s="4">
        <v>144</v>
      </c>
      <c r="R986" s="4">
        <v>0</v>
      </c>
      <c r="S986" s="4">
        <v>0</v>
      </c>
      <c r="T986" s="23">
        <v>2.38</v>
      </c>
      <c r="U986" s="23">
        <v>2.4009999999999998</v>
      </c>
      <c r="V986" s="5" t="s">
        <v>398</v>
      </c>
      <c r="W986" s="4">
        <v>1222</v>
      </c>
      <c r="X986" s="4">
        <v>39606</v>
      </c>
      <c r="Y986" s="9">
        <v>44582</v>
      </c>
      <c r="Z986" s="9">
        <v>46955</v>
      </c>
      <c r="AA986" s="2"/>
      <c r="AB986" s="69" t="s">
        <v>3892</v>
      </c>
      <c r="AC986" s="5" t="s">
        <v>3563</v>
      </c>
      <c r="AD986" s="84" t="s">
        <v>1921</v>
      </c>
      <c r="AE986" s="6"/>
      <c r="AF986" s="23"/>
      <c r="AG986" s="9">
        <v>46408</v>
      </c>
      <c r="AH986" s="5" t="s">
        <v>2</v>
      </c>
      <c r="AI986" s="5" t="s">
        <v>3288</v>
      </c>
      <c r="AJ986" s="5" t="s">
        <v>824</v>
      </c>
      <c r="AK986" s="21" t="s">
        <v>2</v>
      </c>
      <c r="AL986" s="72" t="s">
        <v>825</v>
      </c>
      <c r="AM986" s="54" t="s">
        <v>4179</v>
      </c>
      <c r="AN986" s="34" t="s">
        <v>1408</v>
      </c>
    </row>
    <row r="987" spans="2:40" x14ac:dyDescent="0.3">
      <c r="B987" s="18" t="s">
        <v>690</v>
      </c>
      <c r="C987" s="47" t="s">
        <v>3584</v>
      </c>
      <c r="D987" s="15" t="s">
        <v>1828</v>
      </c>
      <c r="E987" s="68" t="s">
        <v>2</v>
      </c>
      <c r="F987" s="55" t="s">
        <v>2</v>
      </c>
      <c r="G987" s="40" t="s">
        <v>2</v>
      </c>
      <c r="H987" s="71" t="s">
        <v>3894</v>
      </c>
      <c r="I987" s="67" t="s">
        <v>8</v>
      </c>
      <c r="J987" s="73" t="s">
        <v>270</v>
      </c>
      <c r="K987" s="4">
        <v>4998733</v>
      </c>
      <c r="L987" s="41">
        <v>88.271000000000001</v>
      </c>
      <c r="M987" s="4">
        <v>4413571</v>
      </c>
      <c r="N987" s="4">
        <v>5000000</v>
      </c>
      <c r="O987" s="4">
        <v>4998968</v>
      </c>
      <c r="P987" s="4">
        <v>0</v>
      </c>
      <c r="Q987" s="4">
        <v>235</v>
      </c>
      <c r="R987" s="4">
        <v>0</v>
      </c>
      <c r="S987" s="4">
        <v>0</v>
      </c>
      <c r="T987" s="23">
        <v>2.73</v>
      </c>
      <c r="U987" s="23">
        <v>2.7509999999999999</v>
      </c>
      <c r="V987" s="5" t="s">
        <v>398</v>
      </c>
      <c r="W987" s="4">
        <v>3792</v>
      </c>
      <c r="X987" s="4">
        <v>122850</v>
      </c>
      <c r="Y987" s="9">
        <v>44582</v>
      </c>
      <c r="Z987" s="9">
        <v>46955</v>
      </c>
      <c r="AA987" s="2"/>
      <c r="AB987" s="69" t="s">
        <v>3892</v>
      </c>
      <c r="AC987" s="5" t="s">
        <v>3563</v>
      </c>
      <c r="AD987" s="84" t="s">
        <v>1921</v>
      </c>
      <c r="AE987" s="6"/>
      <c r="AF987" s="23"/>
      <c r="AG987" s="9">
        <v>46408</v>
      </c>
      <c r="AH987" s="5" t="s">
        <v>2</v>
      </c>
      <c r="AI987" s="5" t="s">
        <v>3288</v>
      </c>
      <c r="AJ987" s="5" t="s">
        <v>824</v>
      </c>
      <c r="AK987" s="21" t="s">
        <v>2</v>
      </c>
      <c r="AL987" s="72" t="s">
        <v>825</v>
      </c>
      <c r="AM987" s="54" t="s">
        <v>4179</v>
      </c>
      <c r="AN987" s="34" t="s">
        <v>1189</v>
      </c>
    </row>
    <row r="988" spans="2:40" x14ac:dyDescent="0.3">
      <c r="B988" s="18" t="s">
        <v>1829</v>
      </c>
      <c r="C988" s="47" t="s">
        <v>3289</v>
      </c>
      <c r="D988" s="15" t="s">
        <v>2957</v>
      </c>
      <c r="E988" s="68" t="s">
        <v>2</v>
      </c>
      <c r="F988" s="55" t="s">
        <v>1164</v>
      </c>
      <c r="G988" s="40" t="s">
        <v>3894</v>
      </c>
      <c r="H988" s="71" t="s">
        <v>2745</v>
      </c>
      <c r="I988" s="67" t="s">
        <v>1164</v>
      </c>
      <c r="J988" s="73" t="s">
        <v>270</v>
      </c>
      <c r="K988" s="4">
        <v>5000000</v>
      </c>
      <c r="L988" s="41">
        <v>96.241</v>
      </c>
      <c r="M988" s="4">
        <v>4812050</v>
      </c>
      <c r="N988" s="4">
        <v>5000000</v>
      </c>
      <c r="O988" s="4">
        <v>5000000</v>
      </c>
      <c r="P988" s="4">
        <v>0</v>
      </c>
      <c r="Q988" s="4">
        <v>0</v>
      </c>
      <c r="R988" s="4">
        <v>0</v>
      </c>
      <c r="S988" s="4">
        <v>0</v>
      </c>
      <c r="T988" s="23">
        <v>5.9249999999999998</v>
      </c>
      <c r="U988" s="23">
        <v>5.9660000000000002</v>
      </c>
      <c r="V988" s="5" t="s">
        <v>3551</v>
      </c>
      <c r="W988" s="4">
        <v>56777</v>
      </c>
      <c r="X988" s="4">
        <v>141701</v>
      </c>
      <c r="Y988" s="9">
        <v>44453</v>
      </c>
      <c r="Z988" s="9">
        <v>49241</v>
      </c>
      <c r="AA988" s="2"/>
      <c r="AB988" s="69" t="s">
        <v>3892</v>
      </c>
      <c r="AC988" s="5" t="s">
        <v>7</v>
      </c>
      <c r="AD988" s="84" t="s">
        <v>1023</v>
      </c>
      <c r="AE988" s="9">
        <v>45199</v>
      </c>
      <c r="AF988" s="23">
        <v>100</v>
      </c>
      <c r="AG988" s="9">
        <v>46503</v>
      </c>
      <c r="AH988" s="5" t="s">
        <v>2</v>
      </c>
      <c r="AI988" s="5" t="s">
        <v>179</v>
      </c>
      <c r="AJ988" s="5" t="s">
        <v>824</v>
      </c>
      <c r="AK988" s="21" t="s">
        <v>2</v>
      </c>
      <c r="AL988" s="72" t="s">
        <v>2745</v>
      </c>
      <c r="AM988" s="54" t="s">
        <v>4179</v>
      </c>
      <c r="AN988" s="34" t="s">
        <v>1625</v>
      </c>
    </row>
    <row r="989" spans="2:40" x14ac:dyDescent="0.3">
      <c r="B989" s="18" t="s">
        <v>3290</v>
      </c>
      <c r="C989" s="47" t="s">
        <v>1830</v>
      </c>
      <c r="D989" s="15" t="s">
        <v>1032</v>
      </c>
      <c r="E989" s="68" t="s">
        <v>2</v>
      </c>
      <c r="F989" s="55" t="s">
        <v>1164</v>
      </c>
      <c r="G989" s="40" t="s">
        <v>2</v>
      </c>
      <c r="H989" s="71" t="s">
        <v>2745</v>
      </c>
      <c r="I989" s="67" t="s">
        <v>1164</v>
      </c>
      <c r="J989" s="73" t="s">
        <v>270</v>
      </c>
      <c r="K989" s="4">
        <v>10000000</v>
      </c>
      <c r="L989" s="41">
        <v>97.168000000000006</v>
      </c>
      <c r="M989" s="4">
        <v>9716800</v>
      </c>
      <c r="N989" s="4">
        <v>10000000</v>
      </c>
      <c r="O989" s="4">
        <v>10000000</v>
      </c>
      <c r="P989" s="4">
        <v>0</v>
      </c>
      <c r="Q989" s="4">
        <v>0</v>
      </c>
      <c r="R989" s="4">
        <v>0</v>
      </c>
      <c r="S989" s="4">
        <v>0</v>
      </c>
      <c r="T989" s="23">
        <v>5.6109999999999998</v>
      </c>
      <c r="U989" s="23">
        <v>5.649</v>
      </c>
      <c r="V989" s="5" t="s">
        <v>3551</v>
      </c>
      <c r="W989" s="4">
        <v>121569</v>
      </c>
      <c r="X989" s="4">
        <v>264196</v>
      </c>
      <c r="Y989" s="9">
        <v>44350</v>
      </c>
      <c r="Z989" s="9">
        <v>48228</v>
      </c>
      <c r="AA989" s="2"/>
      <c r="AB989" s="69" t="s">
        <v>3892</v>
      </c>
      <c r="AC989" s="5" t="s">
        <v>7</v>
      </c>
      <c r="AD989" s="84" t="s">
        <v>1023</v>
      </c>
      <c r="AE989" s="6"/>
      <c r="AF989" s="23"/>
      <c r="AG989" s="9">
        <v>46860</v>
      </c>
      <c r="AH989" s="5" t="s">
        <v>2</v>
      </c>
      <c r="AI989" s="5" t="s">
        <v>691</v>
      </c>
      <c r="AJ989" s="5" t="s">
        <v>824</v>
      </c>
      <c r="AK989" s="21" t="s">
        <v>2</v>
      </c>
      <c r="AL989" s="72" t="s">
        <v>2745</v>
      </c>
      <c r="AM989" s="54" t="s">
        <v>4179</v>
      </c>
      <c r="AN989" s="34" t="s">
        <v>1625</v>
      </c>
    </row>
    <row r="990" spans="2:40" x14ac:dyDescent="0.3">
      <c r="B990" s="18" t="s">
        <v>4435</v>
      </c>
      <c r="C990" s="47" t="s">
        <v>2153</v>
      </c>
      <c r="D990" s="15" t="s">
        <v>3291</v>
      </c>
      <c r="E990" s="68" t="s">
        <v>2</v>
      </c>
      <c r="F990" s="55" t="s">
        <v>1164</v>
      </c>
      <c r="G990" s="40" t="s">
        <v>3894</v>
      </c>
      <c r="H990" s="71" t="s">
        <v>2745</v>
      </c>
      <c r="I990" s="67" t="s">
        <v>1164</v>
      </c>
      <c r="J990" s="73" t="s">
        <v>270</v>
      </c>
      <c r="K990" s="4">
        <v>5000000</v>
      </c>
      <c r="L990" s="41">
        <v>96.715000000000003</v>
      </c>
      <c r="M990" s="4">
        <v>4835750</v>
      </c>
      <c r="N990" s="4">
        <v>5000000</v>
      </c>
      <c r="O990" s="4">
        <v>5000000</v>
      </c>
      <c r="P990" s="4">
        <v>0</v>
      </c>
      <c r="Q990" s="4">
        <v>0</v>
      </c>
      <c r="R990" s="4">
        <v>0</v>
      </c>
      <c r="S990" s="4">
        <v>0</v>
      </c>
      <c r="T990" s="23">
        <v>5.7110000000000003</v>
      </c>
      <c r="U990" s="23">
        <v>5.7510000000000003</v>
      </c>
      <c r="V990" s="5" t="s">
        <v>3551</v>
      </c>
      <c r="W990" s="4">
        <v>61868</v>
      </c>
      <c r="X990" s="4">
        <v>129047</v>
      </c>
      <c r="Y990" s="9">
        <v>44502</v>
      </c>
      <c r="Z990" s="9">
        <v>49232</v>
      </c>
      <c r="AA990" s="2"/>
      <c r="AB990" s="69" t="s">
        <v>3892</v>
      </c>
      <c r="AC990" s="5" t="s">
        <v>7</v>
      </c>
      <c r="AD990" s="84" t="s">
        <v>1023</v>
      </c>
      <c r="AE990" s="9">
        <v>45214</v>
      </c>
      <c r="AF990" s="23">
        <v>100</v>
      </c>
      <c r="AG990" s="9">
        <v>47771</v>
      </c>
      <c r="AH990" s="5" t="s">
        <v>2</v>
      </c>
      <c r="AI990" s="5" t="s">
        <v>3585</v>
      </c>
      <c r="AJ990" s="5" t="s">
        <v>824</v>
      </c>
      <c r="AK990" s="21" t="s">
        <v>2</v>
      </c>
      <c r="AL990" s="72" t="s">
        <v>2745</v>
      </c>
      <c r="AM990" s="54" t="s">
        <v>4179</v>
      </c>
      <c r="AN990" s="34" t="s">
        <v>1625</v>
      </c>
    </row>
    <row r="991" spans="2:40" x14ac:dyDescent="0.3">
      <c r="B991" s="18" t="s">
        <v>1033</v>
      </c>
      <c r="C991" s="47" t="s">
        <v>4436</v>
      </c>
      <c r="D991" s="15" t="s">
        <v>2676</v>
      </c>
      <c r="E991" s="68" t="s">
        <v>2</v>
      </c>
      <c r="F991" s="55" t="s">
        <v>2274</v>
      </c>
      <c r="G991" s="40" t="s">
        <v>3894</v>
      </c>
      <c r="H991" s="71" t="s">
        <v>2745</v>
      </c>
      <c r="I991" s="67" t="s">
        <v>1164</v>
      </c>
      <c r="J991" s="73" t="s">
        <v>270</v>
      </c>
      <c r="K991" s="4">
        <v>1166828</v>
      </c>
      <c r="L991" s="41">
        <v>91.11</v>
      </c>
      <c r="M991" s="4">
        <v>1092360</v>
      </c>
      <c r="N991" s="4">
        <v>1198950</v>
      </c>
      <c r="O991" s="4">
        <v>1187581</v>
      </c>
      <c r="P991" s="4">
        <v>0</v>
      </c>
      <c r="Q991" s="4">
        <v>5593</v>
      </c>
      <c r="R991" s="4">
        <v>0</v>
      </c>
      <c r="S991" s="4">
        <v>0</v>
      </c>
      <c r="T991" s="23">
        <v>2.4870000000000001</v>
      </c>
      <c r="U991" s="23">
        <v>3.468</v>
      </c>
      <c r="V991" s="5" t="s">
        <v>398</v>
      </c>
      <c r="W991" s="4">
        <v>1325</v>
      </c>
      <c r="X991" s="4">
        <v>29818</v>
      </c>
      <c r="Y991" s="9">
        <v>43553</v>
      </c>
      <c r="Z991" s="9">
        <v>51851</v>
      </c>
      <c r="AA991" s="2"/>
      <c r="AB991" s="69" t="s">
        <v>3892</v>
      </c>
      <c r="AC991" s="5" t="s">
        <v>7</v>
      </c>
      <c r="AD991" s="84" t="s">
        <v>4179</v>
      </c>
      <c r="AE991" s="9">
        <v>45641</v>
      </c>
      <c r="AF991" s="23">
        <v>100</v>
      </c>
      <c r="AG991" s="9">
        <v>45641</v>
      </c>
      <c r="AH991" s="5" t="s">
        <v>2</v>
      </c>
      <c r="AI991" s="5" t="s">
        <v>4098</v>
      </c>
      <c r="AJ991" s="5" t="s">
        <v>824</v>
      </c>
      <c r="AK991" s="21" t="s">
        <v>2</v>
      </c>
      <c r="AL991" s="72" t="s">
        <v>2745</v>
      </c>
      <c r="AM991" s="54" t="s">
        <v>4179</v>
      </c>
      <c r="AN991" s="34" t="s">
        <v>1625</v>
      </c>
    </row>
    <row r="992" spans="2:40" x14ac:dyDescent="0.3">
      <c r="B992" s="18" t="s">
        <v>2154</v>
      </c>
      <c r="C992" s="47" t="s">
        <v>1034</v>
      </c>
      <c r="D992" s="15" t="s">
        <v>3822</v>
      </c>
      <c r="E992" s="68" t="s">
        <v>2</v>
      </c>
      <c r="F992" s="55" t="s">
        <v>1164</v>
      </c>
      <c r="G992" s="40" t="s">
        <v>1921</v>
      </c>
      <c r="H992" s="71" t="s">
        <v>2745</v>
      </c>
      <c r="I992" s="67" t="s">
        <v>3408</v>
      </c>
      <c r="J992" s="73" t="s">
        <v>270</v>
      </c>
      <c r="K992" s="4">
        <v>3900000</v>
      </c>
      <c r="L992" s="41">
        <v>98.492999999999995</v>
      </c>
      <c r="M992" s="4">
        <v>3939720</v>
      </c>
      <c r="N992" s="4">
        <v>4000000</v>
      </c>
      <c r="O992" s="4">
        <v>3949342</v>
      </c>
      <c r="P992" s="4">
        <v>0</v>
      </c>
      <c r="Q992" s="4">
        <v>17787</v>
      </c>
      <c r="R992" s="4">
        <v>0</v>
      </c>
      <c r="S992" s="4">
        <v>0</v>
      </c>
      <c r="T992" s="23">
        <v>5.0990000000000002</v>
      </c>
      <c r="U992" s="23">
        <v>5.7210000000000001</v>
      </c>
      <c r="V992" s="5" t="s">
        <v>3551</v>
      </c>
      <c r="W992" s="4">
        <v>43059</v>
      </c>
      <c r="X992" s="4">
        <v>83182</v>
      </c>
      <c r="Y992" s="9">
        <v>43980</v>
      </c>
      <c r="Z992" s="9">
        <v>47955</v>
      </c>
      <c r="AA992" s="2"/>
      <c r="AB992" s="69" t="s">
        <v>3892</v>
      </c>
      <c r="AC992" s="5" t="s">
        <v>7</v>
      </c>
      <c r="AD992" s="84" t="s">
        <v>1023</v>
      </c>
      <c r="AE992" s="6"/>
      <c r="AF992" s="23"/>
      <c r="AG992" s="9">
        <v>46404</v>
      </c>
      <c r="AH992" s="5" t="s">
        <v>2</v>
      </c>
      <c r="AI992" s="5" t="s">
        <v>3292</v>
      </c>
      <c r="AJ992" s="5" t="s">
        <v>824</v>
      </c>
      <c r="AK992" s="21" t="s">
        <v>2</v>
      </c>
      <c r="AL992" s="72" t="s">
        <v>2745</v>
      </c>
      <c r="AM992" s="54" t="s">
        <v>4179</v>
      </c>
      <c r="AN992" s="34" t="s">
        <v>2278</v>
      </c>
    </row>
    <row r="993" spans="2:40" x14ac:dyDescent="0.3">
      <c r="B993" s="18" t="s">
        <v>4099</v>
      </c>
      <c r="C993" s="47" t="s">
        <v>180</v>
      </c>
      <c r="D993" s="15" t="s">
        <v>2958</v>
      </c>
      <c r="E993" s="68" t="s">
        <v>2</v>
      </c>
      <c r="F993" s="55" t="s">
        <v>2274</v>
      </c>
      <c r="G993" s="40" t="s">
        <v>1921</v>
      </c>
      <c r="H993" s="71" t="s">
        <v>2745</v>
      </c>
      <c r="I993" s="67" t="s">
        <v>1164</v>
      </c>
      <c r="J993" s="73" t="s">
        <v>270</v>
      </c>
      <c r="K993" s="4">
        <v>5250000</v>
      </c>
      <c r="L993" s="41">
        <v>97.283000000000001</v>
      </c>
      <c r="M993" s="4">
        <v>5107358</v>
      </c>
      <c r="N993" s="4">
        <v>5250000</v>
      </c>
      <c r="O993" s="4">
        <v>5250000</v>
      </c>
      <c r="P993" s="4">
        <v>0</v>
      </c>
      <c r="Q993" s="4">
        <v>0</v>
      </c>
      <c r="R993" s="4">
        <v>0</v>
      </c>
      <c r="S993" s="4">
        <v>0</v>
      </c>
      <c r="T993" s="23">
        <v>6.1790000000000003</v>
      </c>
      <c r="U993" s="23">
        <v>6.2270000000000003</v>
      </c>
      <c r="V993" s="5" t="s">
        <v>3551</v>
      </c>
      <c r="W993" s="4">
        <v>70288</v>
      </c>
      <c r="X993" s="4">
        <v>167371</v>
      </c>
      <c r="Y993" s="9">
        <v>43796</v>
      </c>
      <c r="Z993" s="9">
        <v>47863</v>
      </c>
      <c r="AA993" s="2"/>
      <c r="AB993" s="69" t="s">
        <v>3892</v>
      </c>
      <c r="AC993" s="5" t="s">
        <v>7</v>
      </c>
      <c r="AD993" s="84" t="s">
        <v>1023</v>
      </c>
      <c r="AE993" s="6"/>
      <c r="AF993" s="23"/>
      <c r="AG993" s="9">
        <v>46127</v>
      </c>
      <c r="AH993" s="5" t="s">
        <v>2</v>
      </c>
      <c r="AI993" s="5" t="s">
        <v>2455</v>
      </c>
      <c r="AJ993" s="5" t="s">
        <v>824</v>
      </c>
      <c r="AK993" s="21" t="s">
        <v>2</v>
      </c>
      <c r="AL993" s="72" t="s">
        <v>2745</v>
      </c>
      <c r="AM993" s="54" t="s">
        <v>4179</v>
      </c>
      <c r="AN993" s="34" t="s">
        <v>1625</v>
      </c>
    </row>
    <row r="994" spans="2:40" x14ac:dyDescent="0.3">
      <c r="B994" s="18" t="s">
        <v>692</v>
      </c>
      <c r="C994" s="47" t="s">
        <v>1035</v>
      </c>
      <c r="D994" s="15" t="s">
        <v>2677</v>
      </c>
      <c r="E994" s="68" t="s">
        <v>2</v>
      </c>
      <c r="F994" s="55" t="s">
        <v>1164</v>
      </c>
      <c r="G994" s="40" t="s">
        <v>3894</v>
      </c>
      <c r="H994" s="71" t="s">
        <v>2745</v>
      </c>
      <c r="I994" s="67" t="s">
        <v>1164</v>
      </c>
      <c r="J994" s="73" t="s">
        <v>270</v>
      </c>
      <c r="K994" s="4">
        <v>5000000</v>
      </c>
      <c r="L994" s="41">
        <v>96.66</v>
      </c>
      <c r="M994" s="4">
        <v>4833000</v>
      </c>
      <c r="N994" s="4">
        <v>5000000</v>
      </c>
      <c r="O994" s="4">
        <v>5000000</v>
      </c>
      <c r="P994" s="4">
        <v>0</v>
      </c>
      <c r="Q994" s="4">
        <v>0</v>
      </c>
      <c r="R994" s="4">
        <v>0</v>
      </c>
      <c r="S994" s="4">
        <v>0</v>
      </c>
      <c r="T994" s="23">
        <v>5.9930000000000003</v>
      </c>
      <c r="U994" s="23">
        <v>6.0350000000000001</v>
      </c>
      <c r="V994" s="5" t="s">
        <v>3551</v>
      </c>
      <c r="W994" s="4">
        <v>60758</v>
      </c>
      <c r="X994" s="4">
        <v>133731</v>
      </c>
      <c r="Y994" s="9">
        <v>44494</v>
      </c>
      <c r="Z994" s="9">
        <v>49329</v>
      </c>
      <c r="AA994" s="2"/>
      <c r="AB994" s="69" t="s">
        <v>3892</v>
      </c>
      <c r="AC994" s="5" t="s">
        <v>7</v>
      </c>
      <c r="AD994" s="84" t="s">
        <v>1023</v>
      </c>
      <c r="AE994" s="9">
        <v>45311</v>
      </c>
      <c r="AF994" s="23">
        <v>100</v>
      </c>
      <c r="AG994" s="9">
        <v>48050</v>
      </c>
      <c r="AH994" s="5" t="s">
        <v>2</v>
      </c>
      <c r="AI994" s="5" t="s">
        <v>2456</v>
      </c>
      <c r="AJ994" s="5" t="s">
        <v>824</v>
      </c>
      <c r="AK994" s="21" t="s">
        <v>2</v>
      </c>
      <c r="AL994" s="72" t="s">
        <v>2745</v>
      </c>
      <c r="AM994" s="54" t="s">
        <v>4179</v>
      </c>
      <c r="AN994" s="34" t="s">
        <v>1625</v>
      </c>
    </row>
    <row r="995" spans="2:40" x14ac:dyDescent="0.3">
      <c r="B995" s="18" t="s">
        <v>1831</v>
      </c>
      <c r="C995" s="47" t="s">
        <v>1555</v>
      </c>
      <c r="D995" s="15" t="s">
        <v>3293</v>
      </c>
      <c r="E995" s="68" t="s">
        <v>2</v>
      </c>
      <c r="F995" s="55" t="s">
        <v>1164</v>
      </c>
      <c r="G995" s="40" t="s">
        <v>1921</v>
      </c>
      <c r="H995" s="71" t="s">
        <v>2745</v>
      </c>
      <c r="I995" s="67" t="s">
        <v>3408</v>
      </c>
      <c r="J995" s="73" t="s">
        <v>270</v>
      </c>
      <c r="K995" s="4">
        <v>1000000</v>
      </c>
      <c r="L995" s="41">
        <v>98.712000000000003</v>
      </c>
      <c r="M995" s="4">
        <v>987120</v>
      </c>
      <c r="N995" s="4">
        <v>1000000</v>
      </c>
      <c r="O995" s="4">
        <v>1000000</v>
      </c>
      <c r="P995" s="4">
        <v>0</v>
      </c>
      <c r="Q995" s="4">
        <v>0</v>
      </c>
      <c r="R995" s="4">
        <v>0</v>
      </c>
      <c r="S995" s="4">
        <v>0</v>
      </c>
      <c r="T995" s="23">
        <v>5.4349999999999996</v>
      </c>
      <c r="U995" s="23">
        <v>5.4640000000000004</v>
      </c>
      <c r="V995" s="5" t="s">
        <v>3551</v>
      </c>
      <c r="W995" s="4">
        <v>10416</v>
      </c>
      <c r="X995" s="4">
        <v>22360</v>
      </c>
      <c r="Y995" s="9">
        <v>43081</v>
      </c>
      <c r="Z995" s="9">
        <v>47870</v>
      </c>
      <c r="AA995" s="2"/>
      <c r="AB995" s="69" t="s">
        <v>3892</v>
      </c>
      <c r="AC995" s="5" t="s">
        <v>7</v>
      </c>
      <c r="AD995" s="84" t="s">
        <v>1023</v>
      </c>
      <c r="AE995" s="6"/>
      <c r="AF995" s="23"/>
      <c r="AG995" s="9">
        <v>46313</v>
      </c>
      <c r="AH995" s="5" t="s">
        <v>2</v>
      </c>
      <c r="AI995" s="5" t="s">
        <v>2155</v>
      </c>
      <c r="AJ995" s="5" t="s">
        <v>824</v>
      </c>
      <c r="AK995" s="21" t="s">
        <v>2</v>
      </c>
      <c r="AL995" s="72" t="s">
        <v>2745</v>
      </c>
      <c r="AM995" s="54" t="s">
        <v>4179</v>
      </c>
      <c r="AN995" s="34" t="s">
        <v>2278</v>
      </c>
    </row>
    <row r="996" spans="2:40" x14ac:dyDescent="0.3">
      <c r="B996" s="18" t="s">
        <v>2959</v>
      </c>
      <c r="C996" s="47" t="s">
        <v>4437</v>
      </c>
      <c r="D996" s="15" t="s">
        <v>1330</v>
      </c>
      <c r="E996" s="68" t="s">
        <v>2</v>
      </c>
      <c r="F996" s="55" t="s">
        <v>1164</v>
      </c>
      <c r="G996" s="40" t="s">
        <v>1921</v>
      </c>
      <c r="H996" s="71" t="s">
        <v>2745</v>
      </c>
      <c r="I996" s="67" t="s">
        <v>287</v>
      </c>
      <c r="J996" s="73" t="s">
        <v>270</v>
      </c>
      <c r="K996" s="4">
        <v>12128510</v>
      </c>
      <c r="L996" s="41">
        <v>86.512</v>
      </c>
      <c r="M996" s="4">
        <v>10494947</v>
      </c>
      <c r="N996" s="4">
        <v>12131250</v>
      </c>
      <c r="O996" s="4">
        <v>12129355</v>
      </c>
      <c r="P996" s="4">
        <v>0</v>
      </c>
      <c r="Q996" s="4">
        <v>353</v>
      </c>
      <c r="R996" s="4">
        <v>0</v>
      </c>
      <c r="S996" s="4">
        <v>0</v>
      </c>
      <c r="T996" s="23">
        <v>2.2200000000000002</v>
      </c>
      <c r="U996" s="23">
        <v>2.2360000000000002</v>
      </c>
      <c r="V996" s="5" t="s">
        <v>398</v>
      </c>
      <c r="W996" s="4">
        <v>4489</v>
      </c>
      <c r="X996" s="4">
        <v>281947</v>
      </c>
      <c r="Y996" s="9">
        <v>44075</v>
      </c>
      <c r="Z996" s="9">
        <v>53230</v>
      </c>
      <c r="AA996" s="2"/>
      <c r="AB996" s="69" t="s">
        <v>3892</v>
      </c>
      <c r="AC996" s="5" t="s">
        <v>7</v>
      </c>
      <c r="AD996" s="84" t="s">
        <v>161</v>
      </c>
      <c r="AE996" s="6"/>
      <c r="AF996" s="23"/>
      <c r="AG996" s="9">
        <v>46837</v>
      </c>
      <c r="AH996" s="5" t="s">
        <v>2</v>
      </c>
      <c r="AI996" s="5" t="s">
        <v>693</v>
      </c>
      <c r="AJ996" s="5" t="s">
        <v>824</v>
      </c>
      <c r="AK996" s="21" t="s">
        <v>2</v>
      </c>
      <c r="AL996" s="72" t="s">
        <v>2745</v>
      </c>
      <c r="AM996" s="54" t="s">
        <v>4179</v>
      </c>
      <c r="AN996" s="34" t="s">
        <v>819</v>
      </c>
    </row>
    <row r="997" spans="2:40" x14ac:dyDescent="0.3">
      <c r="B997" s="18" t="s">
        <v>4438</v>
      </c>
      <c r="C997" s="47" t="s">
        <v>1036</v>
      </c>
      <c r="D997" s="15" t="s">
        <v>2678</v>
      </c>
      <c r="E997" s="68" t="s">
        <v>2</v>
      </c>
      <c r="F997" s="55" t="s">
        <v>1164</v>
      </c>
      <c r="G997" s="40" t="s">
        <v>3894</v>
      </c>
      <c r="H997" s="71" t="s">
        <v>2745</v>
      </c>
      <c r="I997" s="67" t="s">
        <v>1164</v>
      </c>
      <c r="J997" s="73" t="s">
        <v>270</v>
      </c>
      <c r="K997" s="4">
        <v>10000000</v>
      </c>
      <c r="L997" s="41">
        <v>97.284999999999997</v>
      </c>
      <c r="M997" s="4">
        <v>9728500</v>
      </c>
      <c r="N997" s="4">
        <v>10000000</v>
      </c>
      <c r="O997" s="4">
        <v>10000000</v>
      </c>
      <c r="P997" s="4">
        <v>0</v>
      </c>
      <c r="Q997" s="4">
        <v>0</v>
      </c>
      <c r="R997" s="4">
        <v>0</v>
      </c>
      <c r="S997" s="4">
        <v>0</v>
      </c>
      <c r="T997" s="23">
        <v>5.9429999999999996</v>
      </c>
      <c r="U997" s="23">
        <v>5.9870000000000001</v>
      </c>
      <c r="V997" s="5" t="s">
        <v>3551</v>
      </c>
      <c r="W997" s="4">
        <v>120502</v>
      </c>
      <c r="X997" s="4">
        <v>245380</v>
      </c>
      <c r="Y997" s="9">
        <v>44547</v>
      </c>
      <c r="Z997" s="9">
        <v>48507</v>
      </c>
      <c r="AA997" s="2"/>
      <c r="AB997" s="69" t="s">
        <v>3892</v>
      </c>
      <c r="AC997" s="5" t="s">
        <v>7</v>
      </c>
      <c r="AD997" s="84" t="s">
        <v>1023</v>
      </c>
      <c r="AE997" s="9">
        <v>44946</v>
      </c>
      <c r="AF997" s="23">
        <v>100</v>
      </c>
      <c r="AG997" s="9">
        <v>46954</v>
      </c>
      <c r="AH997" s="5" t="s">
        <v>2</v>
      </c>
      <c r="AI997" s="5" t="s">
        <v>4100</v>
      </c>
      <c r="AJ997" s="5" t="s">
        <v>824</v>
      </c>
      <c r="AK997" s="21" t="s">
        <v>2</v>
      </c>
      <c r="AL997" s="72" t="s">
        <v>3894</v>
      </c>
      <c r="AM997" s="54" t="s">
        <v>4179</v>
      </c>
      <c r="AN997" s="34" t="s">
        <v>1625</v>
      </c>
    </row>
    <row r="998" spans="2:40" x14ac:dyDescent="0.3">
      <c r="B998" s="18" t="s">
        <v>1037</v>
      </c>
      <c r="C998" s="47" t="s">
        <v>181</v>
      </c>
      <c r="D998" s="15" t="s">
        <v>2678</v>
      </c>
      <c r="E998" s="68" t="s">
        <v>2</v>
      </c>
      <c r="F998" s="55" t="s">
        <v>1164</v>
      </c>
      <c r="G998" s="40" t="s">
        <v>1921</v>
      </c>
      <c r="H998" s="71" t="s">
        <v>2745</v>
      </c>
      <c r="I998" s="67" t="s">
        <v>3408</v>
      </c>
      <c r="J998" s="73" t="s">
        <v>270</v>
      </c>
      <c r="K998" s="4">
        <v>3750000</v>
      </c>
      <c r="L998" s="41">
        <v>95.393000000000001</v>
      </c>
      <c r="M998" s="4">
        <v>3577238</v>
      </c>
      <c r="N998" s="4">
        <v>3750000</v>
      </c>
      <c r="O998" s="4">
        <v>3750000</v>
      </c>
      <c r="P998" s="4">
        <v>0</v>
      </c>
      <c r="Q998" s="4">
        <v>0</v>
      </c>
      <c r="R998" s="4">
        <v>0</v>
      </c>
      <c r="S998" s="4">
        <v>0</v>
      </c>
      <c r="T998" s="23">
        <v>5.4930000000000003</v>
      </c>
      <c r="U998" s="23">
        <v>5.5270000000000001</v>
      </c>
      <c r="V998" s="5" t="s">
        <v>3551</v>
      </c>
      <c r="W998" s="4">
        <v>41766</v>
      </c>
      <c r="X998" s="4">
        <v>87211</v>
      </c>
      <c r="Y998" s="9">
        <v>43084</v>
      </c>
      <c r="Z998" s="9">
        <v>47503</v>
      </c>
      <c r="AA998" s="2"/>
      <c r="AB998" s="69" t="s">
        <v>3892</v>
      </c>
      <c r="AC998" s="5" t="s">
        <v>7</v>
      </c>
      <c r="AD998" s="84" t="s">
        <v>1023</v>
      </c>
      <c r="AE998" s="6"/>
      <c r="AF998" s="23"/>
      <c r="AG998" s="9">
        <v>46042</v>
      </c>
      <c r="AH998" s="5" t="s">
        <v>2</v>
      </c>
      <c r="AI998" s="5" t="s">
        <v>4100</v>
      </c>
      <c r="AJ998" s="5" t="s">
        <v>824</v>
      </c>
      <c r="AK998" s="21" t="s">
        <v>2</v>
      </c>
      <c r="AL998" s="72" t="s">
        <v>2745</v>
      </c>
      <c r="AM998" s="54" t="s">
        <v>4179</v>
      </c>
      <c r="AN998" s="34" t="s">
        <v>2278</v>
      </c>
    </row>
    <row r="999" spans="2:40" x14ac:dyDescent="0.3">
      <c r="B999" s="18" t="s">
        <v>2156</v>
      </c>
      <c r="C999" s="47" t="s">
        <v>2457</v>
      </c>
      <c r="D999" s="15" t="s">
        <v>2678</v>
      </c>
      <c r="E999" s="68" t="s">
        <v>2</v>
      </c>
      <c r="F999" s="55" t="s">
        <v>2274</v>
      </c>
      <c r="G999" s="40" t="s">
        <v>1921</v>
      </c>
      <c r="H999" s="71" t="s">
        <v>2745</v>
      </c>
      <c r="I999" s="67" t="s">
        <v>1164</v>
      </c>
      <c r="J999" s="73" t="s">
        <v>270</v>
      </c>
      <c r="K999" s="4">
        <v>5000000</v>
      </c>
      <c r="L999" s="41">
        <v>96.087999999999994</v>
      </c>
      <c r="M999" s="4">
        <v>4804400</v>
      </c>
      <c r="N999" s="4">
        <v>5000000</v>
      </c>
      <c r="O999" s="4">
        <v>5000000</v>
      </c>
      <c r="P999" s="4">
        <v>0</v>
      </c>
      <c r="Q999" s="4">
        <v>0</v>
      </c>
      <c r="R999" s="4">
        <v>0</v>
      </c>
      <c r="S999" s="4">
        <v>0</v>
      </c>
      <c r="T999" s="23">
        <v>5.6109999999999998</v>
      </c>
      <c r="U999" s="23">
        <v>5.649</v>
      </c>
      <c r="V999" s="5" t="s">
        <v>3551</v>
      </c>
      <c r="W999" s="4">
        <v>61564</v>
      </c>
      <c r="X999" s="4">
        <v>132098</v>
      </c>
      <c r="Y999" s="9">
        <v>43266</v>
      </c>
      <c r="Z999" s="9">
        <v>47679</v>
      </c>
      <c r="AA999" s="2"/>
      <c r="AB999" s="69" t="s">
        <v>3892</v>
      </c>
      <c r="AC999" s="5" t="s">
        <v>7</v>
      </c>
      <c r="AD999" s="84" t="s">
        <v>1023</v>
      </c>
      <c r="AE999" s="6"/>
      <c r="AF999" s="23"/>
      <c r="AG999" s="9">
        <v>46402</v>
      </c>
      <c r="AH999" s="5" t="s">
        <v>2</v>
      </c>
      <c r="AI999" s="5" t="s">
        <v>4100</v>
      </c>
      <c r="AJ999" s="5" t="s">
        <v>824</v>
      </c>
      <c r="AK999" s="21" t="s">
        <v>2</v>
      </c>
      <c r="AL999" s="72" t="s">
        <v>2745</v>
      </c>
      <c r="AM999" s="54" t="s">
        <v>4179</v>
      </c>
      <c r="AN999" s="34" t="s">
        <v>1625</v>
      </c>
    </row>
    <row r="1000" spans="2:40" x14ac:dyDescent="0.3">
      <c r="B1000" s="18" t="s">
        <v>3294</v>
      </c>
      <c r="C1000" s="47" t="s">
        <v>2960</v>
      </c>
      <c r="D1000" s="15" t="s">
        <v>3586</v>
      </c>
      <c r="E1000" s="68" t="s">
        <v>2</v>
      </c>
      <c r="F1000" s="55" t="s">
        <v>1164</v>
      </c>
      <c r="G1000" s="40" t="s">
        <v>2</v>
      </c>
      <c r="H1000" s="71" t="s">
        <v>2745</v>
      </c>
      <c r="I1000" s="67" t="s">
        <v>1164</v>
      </c>
      <c r="J1000" s="73" t="s">
        <v>270</v>
      </c>
      <c r="K1000" s="4">
        <v>8500000</v>
      </c>
      <c r="L1000" s="41">
        <v>96.402000000000001</v>
      </c>
      <c r="M1000" s="4">
        <v>8194170</v>
      </c>
      <c r="N1000" s="4">
        <v>8500000</v>
      </c>
      <c r="O1000" s="4">
        <v>8500000</v>
      </c>
      <c r="P1000" s="4">
        <v>0</v>
      </c>
      <c r="Q1000" s="4">
        <v>0</v>
      </c>
      <c r="R1000" s="4">
        <v>0</v>
      </c>
      <c r="S1000" s="4">
        <v>0</v>
      </c>
      <c r="T1000" s="23">
        <v>5.9749999999999996</v>
      </c>
      <c r="U1000" s="23">
        <v>6.0190000000000001</v>
      </c>
      <c r="V1000" s="5" t="s">
        <v>3551</v>
      </c>
      <c r="W1000" s="4">
        <v>97336</v>
      </c>
      <c r="X1000" s="4">
        <v>235267</v>
      </c>
      <c r="Y1000" s="9">
        <v>44344</v>
      </c>
      <c r="Z1000" s="9">
        <v>49148</v>
      </c>
      <c r="AA1000" s="2"/>
      <c r="AB1000" s="69" t="s">
        <v>3892</v>
      </c>
      <c r="AC1000" s="5" t="s">
        <v>7</v>
      </c>
      <c r="AD1000" s="84" t="s">
        <v>1023</v>
      </c>
      <c r="AE1000" s="6"/>
      <c r="AF1000" s="23"/>
      <c r="AG1000" s="9">
        <v>47596</v>
      </c>
      <c r="AH1000" s="5" t="s">
        <v>3587</v>
      </c>
      <c r="AI1000" s="5" t="s">
        <v>3823</v>
      </c>
      <c r="AJ1000" s="5" t="s">
        <v>824</v>
      </c>
      <c r="AK1000" s="21" t="s">
        <v>2</v>
      </c>
      <c r="AL1000" s="72" t="s">
        <v>2745</v>
      </c>
      <c r="AM1000" s="54" t="s">
        <v>4179</v>
      </c>
      <c r="AN1000" s="34" t="s">
        <v>1625</v>
      </c>
    </row>
    <row r="1001" spans="2:40" x14ac:dyDescent="0.3">
      <c r="B1001" s="18" t="s">
        <v>4439</v>
      </c>
      <c r="C1001" s="47" t="s">
        <v>2157</v>
      </c>
      <c r="D1001" s="15" t="s">
        <v>433</v>
      </c>
      <c r="E1001" s="68" t="s">
        <v>2</v>
      </c>
      <c r="F1001" s="55" t="s">
        <v>1164</v>
      </c>
      <c r="G1001" s="40" t="s">
        <v>2</v>
      </c>
      <c r="H1001" s="71" t="s">
        <v>2745</v>
      </c>
      <c r="I1001" s="67" t="s">
        <v>1164</v>
      </c>
      <c r="J1001" s="73" t="s">
        <v>270</v>
      </c>
      <c r="K1001" s="4">
        <v>2500000</v>
      </c>
      <c r="L1001" s="41">
        <v>96.302000000000007</v>
      </c>
      <c r="M1001" s="4">
        <v>2407550</v>
      </c>
      <c r="N1001" s="4">
        <v>2500000</v>
      </c>
      <c r="O1001" s="4">
        <v>2500000</v>
      </c>
      <c r="P1001" s="4">
        <v>0</v>
      </c>
      <c r="Q1001" s="4">
        <v>0</v>
      </c>
      <c r="R1001" s="4">
        <v>0</v>
      </c>
      <c r="S1001" s="4">
        <v>0</v>
      </c>
      <c r="T1001" s="23">
        <v>5.9779999999999998</v>
      </c>
      <c r="U1001" s="23">
        <v>6.0220000000000002</v>
      </c>
      <c r="V1001" s="5" t="s">
        <v>3551</v>
      </c>
      <c r="W1001" s="4">
        <v>29888</v>
      </c>
      <c r="X1001" s="4">
        <v>64432</v>
      </c>
      <c r="Y1001" s="9">
        <v>44519</v>
      </c>
      <c r="Z1001" s="9">
        <v>48142</v>
      </c>
      <c r="AA1001" s="2"/>
      <c r="AB1001" s="69" t="s">
        <v>3892</v>
      </c>
      <c r="AC1001" s="5" t="s">
        <v>7</v>
      </c>
      <c r="AD1001" s="84" t="s">
        <v>1023</v>
      </c>
      <c r="AE1001" s="6"/>
      <c r="AF1001" s="23"/>
      <c r="AG1001" s="9">
        <v>47140</v>
      </c>
      <c r="AH1001" s="5" t="s">
        <v>2</v>
      </c>
      <c r="AI1001" s="5" t="s">
        <v>1832</v>
      </c>
      <c r="AJ1001" s="5" t="s">
        <v>824</v>
      </c>
      <c r="AK1001" s="21" t="s">
        <v>2</v>
      </c>
      <c r="AL1001" s="72" t="s">
        <v>2745</v>
      </c>
      <c r="AM1001" s="54" t="s">
        <v>4179</v>
      </c>
      <c r="AN1001" s="34" t="s">
        <v>1625</v>
      </c>
    </row>
    <row r="1002" spans="2:40" x14ac:dyDescent="0.3">
      <c r="B1002" s="18" t="s">
        <v>1038</v>
      </c>
      <c r="C1002" s="47" t="s">
        <v>4440</v>
      </c>
      <c r="D1002" s="15" t="s">
        <v>694</v>
      </c>
      <c r="E1002" s="68" t="s">
        <v>2</v>
      </c>
      <c r="F1002" s="55" t="s">
        <v>1164</v>
      </c>
      <c r="G1002" s="40" t="s">
        <v>3894</v>
      </c>
      <c r="H1002" s="71" t="s">
        <v>2745</v>
      </c>
      <c r="I1002" s="67" t="s">
        <v>3408</v>
      </c>
      <c r="J1002" s="73" t="s">
        <v>270</v>
      </c>
      <c r="K1002" s="4">
        <v>5000000</v>
      </c>
      <c r="L1002" s="41">
        <v>100.592</v>
      </c>
      <c r="M1002" s="4">
        <v>5029600</v>
      </c>
      <c r="N1002" s="4">
        <v>5000000</v>
      </c>
      <c r="O1002" s="4">
        <v>5000000</v>
      </c>
      <c r="P1002" s="4">
        <v>0</v>
      </c>
      <c r="Q1002" s="4">
        <v>0</v>
      </c>
      <c r="R1002" s="4">
        <v>0</v>
      </c>
      <c r="S1002" s="4">
        <v>0</v>
      </c>
      <c r="T1002" s="23">
        <v>4.4320000000000004</v>
      </c>
      <c r="U1002" s="23">
        <v>4.4509999999999996</v>
      </c>
      <c r="V1002" s="5" t="s">
        <v>3551</v>
      </c>
      <c r="W1002" s="4">
        <v>20315</v>
      </c>
      <c r="X1002" s="4">
        <v>0</v>
      </c>
      <c r="Y1002" s="9">
        <v>44852</v>
      </c>
      <c r="Z1002" s="9">
        <v>49597</v>
      </c>
      <c r="AA1002" s="2"/>
      <c r="AB1002" s="69" t="s">
        <v>3892</v>
      </c>
      <c r="AC1002" s="5" t="s">
        <v>7</v>
      </c>
      <c r="AD1002" s="84" t="s">
        <v>1023</v>
      </c>
      <c r="AE1002" s="9">
        <v>45580</v>
      </c>
      <c r="AF1002" s="23">
        <v>100</v>
      </c>
      <c r="AG1002" s="9">
        <v>47315</v>
      </c>
      <c r="AH1002" s="5" t="s">
        <v>2</v>
      </c>
      <c r="AI1002" s="5" t="s">
        <v>2961</v>
      </c>
      <c r="AJ1002" s="5" t="s">
        <v>824</v>
      </c>
      <c r="AK1002" s="21" t="s">
        <v>2</v>
      </c>
      <c r="AL1002" s="72" t="s">
        <v>2745</v>
      </c>
      <c r="AM1002" s="54" t="s">
        <v>4179</v>
      </c>
      <c r="AN1002" s="34" t="s">
        <v>2278</v>
      </c>
    </row>
    <row r="1003" spans="2:40" x14ac:dyDescent="0.3">
      <c r="B1003" s="18" t="s">
        <v>2679</v>
      </c>
      <c r="C1003" s="47" t="s">
        <v>4441</v>
      </c>
      <c r="D1003" s="15" t="s">
        <v>694</v>
      </c>
      <c r="E1003" s="68" t="s">
        <v>2</v>
      </c>
      <c r="F1003" s="55" t="s">
        <v>1164</v>
      </c>
      <c r="G1003" s="40" t="s">
        <v>3894</v>
      </c>
      <c r="H1003" s="71" t="s">
        <v>2745</v>
      </c>
      <c r="I1003" s="67" t="s">
        <v>1164</v>
      </c>
      <c r="J1003" s="73" t="s">
        <v>270</v>
      </c>
      <c r="K1003" s="4">
        <v>5000000</v>
      </c>
      <c r="L1003" s="41">
        <v>100.26</v>
      </c>
      <c r="M1003" s="4">
        <v>5013000</v>
      </c>
      <c r="N1003" s="4">
        <v>5000000</v>
      </c>
      <c r="O1003" s="4">
        <v>5000000</v>
      </c>
      <c r="P1003" s="4">
        <v>0</v>
      </c>
      <c r="Q1003" s="4">
        <v>0</v>
      </c>
      <c r="R1003" s="4">
        <v>0</v>
      </c>
      <c r="S1003" s="4">
        <v>0</v>
      </c>
      <c r="T1003" s="23">
        <v>5.3819999999999997</v>
      </c>
      <c r="U1003" s="23">
        <v>5.4119999999999999</v>
      </c>
      <c r="V1003" s="5" t="s">
        <v>3551</v>
      </c>
      <c r="W1003" s="4">
        <v>24669</v>
      </c>
      <c r="X1003" s="4">
        <v>0</v>
      </c>
      <c r="Y1003" s="9">
        <v>44852</v>
      </c>
      <c r="Z1003" s="9">
        <v>49597</v>
      </c>
      <c r="AA1003" s="2"/>
      <c r="AB1003" s="69" t="s">
        <v>3892</v>
      </c>
      <c r="AC1003" s="5" t="s">
        <v>7</v>
      </c>
      <c r="AD1003" s="84" t="s">
        <v>1023</v>
      </c>
      <c r="AE1003" s="9">
        <v>45580</v>
      </c>
      <c r="AF1003" s="23">
        <v>100</v>
      </c>
      <c r="AG1003" s="9">
        <v>47588</v>
      </c>
      <c r="AH1003" s="5" t="s">
        <v>2</v>
      </c>
      <c r="AI1003" s="5" t="s">
        <v>2961</v>
      </c>
      <c r="AJ1003" s="5" t="s">
        <v>824</v>
      </c>
      <c r="AK1003" s="21" t="s">
        <v>2</v>
      </c>
      <c r="AL1003" s="72" t="s">
        <v>2745</v>
      </c>
      <c r="AM1003" s="54" t="s">
        <v>4179</v>
      </c>
      <c r="AN1003" s="34" t="s">
        <v>1625</v>
      </c>
    </row>
    <row r="1004" spans="2:40" x14ac:dyDescent="0.3">
      <c r="B1004" s="18" t="s">
        <v>3824</v>
      </c>
      <c r="C1004" s="47" t="s">
        <v>2158</v>
      </c>
      <c r="D1004" s="15" t="s">
        <v>182</v>
      </c>
      <c r="E1004" s="68" t="s">
        <v>2</v>
      </c>
      <c r="F1004" s="55" t="s">
        <v>2274</v>
      </c>
      <c r="G1004" s="40" t="s">
        <v>1921</v>
      </c>
      <c r="H1004" s="71" t="s">
        <v>2745</v>
      </c>
      <c r="I1004" s="67" t="s">
        <v>1164</v>
      </c>
      <c r="J1004" s="73" t="s">
        <v>270</v>
      </c>
      <c r="K1004" s="4">
        <v>3712500</v>
      </c>
      <c r="L1004" s="41">
        <v>98.054000000000002</v>
      </c>
      <c r="M1004" s="4">
        <v>3677025</v>
      </c>
      <c r="N1004" s="4">
        <v>3750000</v>
      </c>
      <c r="O1004" s="4">
        <v>3726085</v>
      </c>
      <c r="P1004" s="4">
        <v>0</v>
      </c>
      <c r="Q1004" s="4">
        <v>2595</v>
      </c>
      <c r="R1004" s="4">
        <v>0</v>
      </c>
      <c r="S1004" s="4">
        <v>0</v>
      </c>
      <c r="T1004" s="23">
        <v>6.008</v>
      </c>
      <c r="U1004" s="23">
        <v>6.2069999999999999</v>
      </c>
      <c r="V1004" s="5" t="s">
        <v>3551</v>
      </c>
      <c r="W1004" s="4">
        <v>42560</v>
      </c>
      <c r="X1004" s="4">
        <v>104231</v>
      </c>
      <c r="Y1004" s="9">
        <v>43627</v>
      </c>
      <c r="Z1004" s="9">
        <v>48146</v>
      </c>
      <c r="AA1004" s="2"/>
      <c r="AB1004" s="69" t="s">
        <v>3892</v>
      </c>
      <c r="AC1004" s="5" t="s">
        <v>7</v>
      </c>
      <c r="AD1004" s="84" t="s">
        <v>1023</v>
      </c>
      <c r="AE1004" s="6"/>
      <c r="AF1004" s="23"/>
      <c r="AG1004" s="9">
        <v>46868</v>
      </c>
      <c r="AH1004" s="5" t="s">
        <v>2</v>
      </c>
      <c r="AI1004" s="5" t="s">
        <v>2159</v>
      </c>
      <c r="AJ1004" s="5" t="s">
        <v>824</v>
      </c>
      <c r="AK1004" s="21" t="s">
        <v>2</v>
      </c>
      <c r="AL1004" s="72" t="s">
        <v>2745</v>
      </c>
      <c r="AM1004" s="54" t="s">
        <v>4179</v>
      </c>
      <c r="AN1004" s="34" t="s">
        <v>1625</v>
      </c>
    </row>
    <row r="1005" spans="2:40" x14ac:dyDescent="0.3">
      <c r="B1005" s="18" t="s">
        <v>434</v>
      </c>
      <c r="C1005" s="47" t="s">
        <v>2458</v>
      </c>
      <c r="D1005" s="15" t="s">
        <v>1039</v>
      </c>
      <c r="E1005" s="68" t="s">
        <v>2</v>
      </c>
      <c r="F1005" s="55" t="s">
        <v>1164</v>
      </c>
      <c r="G1005" s="40" t="s">
        <v>1921</v>
      </c>
      <c r="H1005" s="71" t="s">
        <v>2745</v>
      </c>
      <c r="I1005" s="67" t="s">
        <v>3408</v>
      </c>
      <c r="J1005" s="73" t="s">
        <v>270</v>
      </c>
      <c r="K1005" s="4">
        <v>5000000</v>
      </c>
      <c r="L1005" s="41">
        <v>98.546000000000006</v>
      </c>
      <c r="M1005" s="4">
        <v>4927300</v>
      </c>
      <c r="N1005" s="4">
        <v>5000000</v>
      </c>
      <c r="O1005" s="4">
        <v>5000000</v>
      </c>
      <c r="P1005" s="4">
        <v>0</v>
      </c>
      <c r="Q1005" s="4">
        <v>0</v>
      </c>
      <c r="R1005" s="4">
        <v>0</v>
      </c>
      <c r="S1005" s="4">
        <v>0</v>
      </c>
      <c r="T1005" s="23">
        <v>5.2430000000000003</v>
      </c>
      <c r="U1005" s="23">
        <v>5.2770000000000001</v>
      </c>
      <c r="V1005" s="5" t="s">
        <v>3551</v>
      </c>
      <c r="W1005" s="4">
        <v>53154</v>
      </c>
      <c r="X1005" s="4">
        <v>103607</v>
      </c>
      <c r="Y1005" s="9">
        <v>43154</v>
      </c>
      <c r="Z1005" s="9">
        <v>47958</v>
      </c>
      <c r="AA1005" s="2"/>
      <c r="AB1005" s="69" t="s">
        <v>3892</v>
      </c>
      <c r="AC1005" s="5" t="s">
        <v>7</v>
      </c>
      <c r="AD1005" s="84" t="s">
        <v>1023</v>
      </c>
      <c r="AE1005" s="6"/>
      <c r="AF1005" s="23"/>
      <c r="AG1005" s="9">
        <v>46042</v>
      </c>
      <c r="AH1005" s="5" t="s">
        <v>2</v>
      </c>
      <c r="AI1005" s="5" t="s">
        <v>4101</v>
      </c>
      <c r="AJ1005" s="5" t="s">
        <v>824</v>
      </c>
      <c r="AK1005" s="21" t="s">
        <v>2</v>
      </c>
      <c r="AL1005" s="72" t="s">
        <v>2745</v>
      </c>
      <c r="AM1005" s="54" t="s">
        <v>4179</v>
      </c>
      <c r="AN1005" s="34" t="s">
        <v>2278</v>
      </c>
    </row>
    <row r="1006" spans="2:40" x14ac:dyDescent="0.3">
      <c r="B1006" s="18" t="s">
        <v>1556</v>
      </c>
      <c r="C1006" s="47" t="s">
        <v>2160</v>
      </c>
      <c r="D1006" s="15" t="s">
        <v>4102</v>
      </c>
      <c r="E1006" s="68" t="s">
        <v>2</v>
      </c>
      <c r="F1006" s="55" t="s">
        <v>1164</v>
      </c>
      <c r="G1006" s="40" t="s">
        <v>1921</v>
      </c>
      <c r="H1006" s="71" t="s">
        <v>2745</v>
      </c>
      <c r="I1006" s="67" t="s">
        <v>287</v>
      </c>
      <c r="J1006" s="73" t="s">
        <v>270</v>
      </c>
      <c r="K1006" s="4">
        <v>3750476</v>
      </c>
      <c r="L1006" s="41">
        <v>88.68</v>
      </c>
      <c r="M1006" s="4">
        <v>3326061</v>
      </c>
      <c r="N1006" s="4">
        <v>3750653</v>
      </c>
      <c r="O1006" s="4">
        <v>3750519</v>
      </c>
      <c r="P1006" s="4">
        <v>0</v>
      </c>
      <c r="Q1006" s="4">
        <v>19</v>
      </c>
      <c r="R1006" s="4">
        <v>0</v>
      </c>
      <c r="S1006" s="4">
        <v>0</v>
      </c>
      <c r="T1006" s="23">
        <v>2.17</v>
      </c>
      <c r="U1006" s="23">
        <v>2.181</v>
      </c>
      <c r="V1006" s="5" t="s">
        <v>398</v>
      </c>
      <c r="W1006" s="4">
        <v>3165</v>
      </c>
      <c r="X1006" s="4">
        <v>81389</v>
      </c>
      <c r="Y1006" s="9">
        <v>44076</v>
      </c>
      <c r="Z1006" s="9">
        <v>51426</v>
      </c>
      <c r="AA1006" s="2"/>
      <c r="AB1006" s="69" t="s">
        <v>3892</v>
      </c>
      <c r="AC1006" s="5" t="s">
        <v>7</v>
      </c>
      <c r="AD1006" s="84" t="s">
        <v>161</v>
      </c>
      <c r="AE1006" s="6"/>
      <c r="AF1006" s="23"/>
      <c r="AG1006" s="9">
        <v>47439</v>
      </c>
      <c r="AH1006" s="5" t="s">
        <v>2</v>
      </c>
      <c r="AI1006" s="5" t="s">
        <v>4442</v>
      </c>
      <c r="AJ1006" s="5" t="s">
        <v>824</v>
      </c>
      <c r="AK1006" s="21" t="s">
        <v>2</v>
      </c>
      <c r="AL1006" s="72" t="s">
        <v>2745</v>
      </c>
      <c r="AM1006" s="54" t="s">
        <v>4179</v>
      </c>
      <c r="AN1006" s="34" t="s">
        <v>819</v>
      </c>
    </row>
    <row r="1007" spans="2:40" x14ac:dyDescent="0.3">
      <c r="B1007" s="18" t="s">
        <v>2680</v>
      </c>
      <c r="C1007" s="47" t="s">
        <v>1557</v>
      </c>
      <c r="D1007" s="15" t="s">
        <v>2459</v>
      </c>
      <c r="E1007" s="68" t="s">
        <v>2</v>
      </c>
      <c r="F1007" s="55" t="s">
        <v>1164</v>
      </c>
      <c r="G1007" s="40" t="s">
        <v>1921</v>
      </c>
      <c r="H1007" s="71" t="s">
        <v>2745</v>
      </c>
      <c r="I1007" s="67" t="s">
        <v>3408</v>
      </c>
      <c r="J1007" s="73" t="s">
        <v>270</v>
      </c>
      <c r="K1007" s="4">
        <v>5250000</v>
      </c>
      <c r="L1007" s="41">
        <v>99.117999999999995</v>
      </c>
      <c r="M1007" s="4">
        <v>5203695</v>
      </c>
      <c r="N1007" s="4">
        <v>5250000</v>
      </c>
      <c r="O1007" s="4">
        <v>5250000</v>
      </c>
      <c r="P1007" s="4">
        <v>0</v>
      </c>
      <c r="Q1007" s="4">
        <v>0</v>
      </c>
      <c r="R1007" s="4">
        <v>0</v>
      </c>
      <c r="S1007" s="4">
        <v>0</v>
      </c>
      <c r="T1007" s="23">
        <v>5.2640000000000002</v>
      </c>
      <c r="U1007" s="23">
        <v>5.2910000000000004</v>
      </c>
      <c r="V1007" s="5" t="s">
        <v>3551</v>
      </c>
      <c r="W1007" s="4">
        <v>57572</v>
      </c>
      <c r="X1007" s="4">
        <v>112386</v>
      </c>
      <c r="Y1007" s="9">
        <v>43077</v>
      </c>
      <c r="Z1007" s="9">
        <v>47866</v>
      </c>
      <c r="AA1007" s="2"/>
      <c r="AB1007" s="69" t="s">
        <v>3892</v>
      </c>
      <c r="AC1007" s="5" t="s">
        <v>7</v>
      </c>
      <c r="AD1007" s="84" t="s">
        <v>1023</v>
      </c>
      <c r="AE1007" s="6"/>
      <c r="AF1007" s="23"/>
      <c r="AG1007" s="9">
        <v>46313</v>
      </c>
      <c r="AH1007" s="5" t="s">
        <v>1558</v>
      </c>
      <c r="AI1007" s="5" t="s">
        <v>1331</v>
      </c>
      <c r="AJ1007" s="5" t="s">
        <v>824</v>
      </c>
      <c r="AK1007" s="21" t="s">
        <v>2</v>
      </c>
      <c r="AL1007" s="72" t="s">
        <v>2745</v>
      </c>
      <c r="AM1007" s="54" t="s">
        <v>4179</v>
      </c>
      <c r="AN1007" s="34" t="s">
        <v>2278</v>
      </c>
    </row>
    <row r="1008" spans="2:40" x14ac:dyDescent="0.3">
      <c r="B1008" s="18" t="s">
        <v>3825</v>
      </c>
      <c r="C1008" s="47" t="s">
        <v>3826</v>
      </c>
      <c r="D1008" s="15" t="s">
        <v>183</v>
      </c>
      <c r="E1008" s="68" t="s">
        <v>2</v>
      </c>
      <c r="F1008" s="55" t="s">
        <v>1164</v>
      </c>
      <c r="G1008" s="40" t="s">
        <v>3894</v>
      </c>
      <c r="H1008" s="71" t="s">
        <v>2745</v>
      </c>
      <c r="I1008" s="67" t="s">
        <v>1164</v>
      </c>
      <c r="J1008" s="73" t="s">
        <v>270</v>
      </c>
      <c r="K1008" s="4">
        <v>5000000</v>
      </c>
      <c r="L1008" s="41">
        <v>95.034000000000006</v>
      </c>
      <c r="M1008" s="4">
        <v>4751700</v>
      </c>
      <c r="N1008" s="4">
        <v>5000000</v>
      </c>
      <c r="O1008" s="4">
        <v>5000000</v>
      </c>
      <c r="P1008" s="4">
        <v>0</v>
      </c>
      <c r="Q1008" s="4">
        <v>0</v>
      </c>
      <c r="R1008" s="4">
        <v>0</v>
      </c>
      <c r="S1008" s="4">
        <v>0</v>
      </c>
      <c r="T1008" s="23">
        <v>5.758</v>
      </c>
      <c r="U1008" s="23">
        <v>5.7779999999999996</v>
      </c>
      <c r="V1008" s="5" t="s">
        <v>3551</v>
      </c>
      <c r="W1008" s="4">
        <v>54385</v>
      </c>
      <c r="X1008" s="4">
        <v>125754</v>
      </c>
      <c r="Y1008" s="9">
        <v>44232</v>
      </c>
      <c r="Z1008" s="9">
        <v>49057</v>
      </c>
      <c r="AA1008" s="2"/>
      <c r="AB1008" s="69" t="s">
        <v>3892</v>
      </c>
      <c r="AC1008" s="5" t="s">
        <v>7</v>
      </c>
      <c r="AD1008" s="84" t="s">
        <v>1023</v>
      </c>
      <c r="AE1008" s="9">
        <v>45004</v>
      </c>
      <c r="AF1008" s="23">
        <v>100</v>
      </c>
      <c r="AG1008" s="9">
        <v>46958</v>
      </c>
      <c r="AH1008" s="5" t="s">
        <v>2</v>
      </c>
      <c r="AI1008" s="5" t="s">
        <v>3588</v>
      </c>
      <c r="AJ1008" s="5" t="s">
        <v>824</v>
      </c>
      <c r="AK1008" s="21" t="s">
        <v>2</v>
      </c>
      <c r="AL1008" s="72" t="s">
        <v>2745</v>
      </c>
      <c r="AM1008" s="54" t="s">
        <v>4179</v>
      </c>
      <c r="AN1008" s="34" t="s">
        <v>1625</v>
      </c>
    </row>
    <row r="1009" spans="2:40" x14ac:dyDescent="0.3">
      <c r="B1009" s="18" t="s">
        <v>435</v>
      </c>
      <c r="C1009" s="47" t="s">
        <v>2161</v>
      </c>
      <c r="D1009" s="15" t="s">
        <v>3295</v>
      </c>
      <c r="E1009" s="68" t="s">
        <v>2</v>
      </c>
      <c r="F1009" s="55" t="s">
        <v>1164</v>
      </c>
      <c r="G1009" s="40" t="s">
        <v>3894</v>
      </c>
      <c r="H1009" s="71" t="s">
        <v>2745</v>
      </c>
      <c r="I1009" s="67" t="s">
        <v>3408</v>
      </c>
      <c r="J1009" s="73" t="s">
        <v>270</v>
      </c>
      <c r="K1009" s="4">
        <v>5000000</v>
      </c>
      <c r="L1009" s="41">
        <v>97.09</v>
      </c>
      <c r="M1009" s="4">
        <v>4854500</v>
      </c>
      <c r="N1009" s="4">
        <v>5000000</v>
      </c>
      <c r="O1009" s="4">
        <v>5000000</v>
      </c>
      <c r="P1009" s="4">
        <v>0</v>
      </c>
      <c r="Q1009" s="4">
        <v>0</v>
      </c>
      <c r="R1009" s="4">
        <v>0</v>
      </c>
      <c r="S1009" s="4">
        <v>0</v>
      </c>
      <c r="T1009" s="23">
        <v>5.0709999999999997</v>
      </c>
      <c r="U1009" s="23">
        <v>5.0999999999999996</v>
      </c>
      <c r="V1009" s="5" t="s">
        <v>3551</v>
      </c>
      <c r="W1009" s="4">
        <v>54934</v>
      </c>
      <c r="X1009" s="4">
        <v>104573</v>
      </c>
      <c r="Y1009" s="9">
        <v>44273</v>
      </c>
      <c r="Z1009" s="9">
        <v>49049</v>
      </c>
      <c r="AA1009" s="2"/>
      <c r="AB1009" s="69" t="s">
        <v>3892</v>
      </c>
      <c r="AC1009" s="5" t="s">
        <v>7</v>
      </c>
      <c r="AD1009" s="84" t="s">
        <v>1023</v>
      </c>
      <c r="AE1009" s="9">
        <v>45031</v>
      </c>
      <c r="AF1009" s="23">
        <v>100</v>
      </c>
      <c r="AG1009" s="9">
        <v>47315</v>
      </c>
      <c r="AH1009" s="5" t="s">
        <v>2</v>
      </c>
      <c r="AI1009" s="5" t="s">
        <v>1040</v>
      </c>
      <c r="AJ1009" s="5" t="s">
        <v>824</v>
      </c>
      <c r="AK1009" s="21" t="s">
        <v>2</v>
      </c>
      <c r="AL1009" s="72" t="s">
        <v>2745</v>
      </c>
      <c r="AM1009" s="54" t="s">
        <v>4179</v>
      </c>
      <c r="AN1009" s="34" t="s">
        <v>2278</v>
      </c>
    </row>
    <row r="1010" spans="2:40" x14ac:dyDescent="0.3">
      <c r="B1010" s="18" t="s">
        <v>1559</v>
      </c>
      <c r="C1010" s="47" t="s">
        <v>2162</v>
      </c>
      <c r="D1010" s="15" t="s">
        <v>3295</v>
      </c>
      <c r="E1010" s="68" t="s">
        <v>2</v>
      </c>
      <c r="F1010" s="55" t="s">
        <v>1164</v>
      </c>
      <c r="G1010" s="40" t="s">
        <v>3894</v>
      </c>
      <c r="H1010" s="71" t="s">
        <v>2745</v>
      </c>
      <c r="I1010" s="67" t="s">
        <v>1164</v>
      </c>
      <c r="J1010" s="73" t="s">
        <v>270</v>
      </c>
      <c r="K1010" s="4">
        <v>3250000</v>
      </c>
      <c r="L1010" s="41">
        <v>96.58</v>
      </c>
      <c r="M1010" s="4">
        <v>3138850</v>
      </c>
      <c r="N1010" s="4">
        <v>3250000</v>
      </c>
      <c r="O1010" s="4">
        <v>3250000</v>
      </c>
      <c r="P1010" s="4">
        <v>0</v>
      </c>
      <c r="Q1010" s="4">
        <v>0</v>
      </c>
      <c r="R1010" s="4">
        <v>0</v>
      </c>
      <c r="S1010" s="4">
        <v>0</v>
      </c>
      <c r="T1010" s="23">
        <v>5.5289999999999999</v>
      </c>
      <c r="U1010" s="23">
        <v>5.5650000000000004</v>
      </c>
      <c r="V1010" s="5" t="s">
        <v>3551</v>
      </c>
      <c r="W1010" s="4">
        <v>38934</v>
      </c>
      <c r="X1010" s="4">
        <v>80894</v>
      </c>
      <c r="Y1010" s="9">
        <v>44273</v>
      </c>
      <c r="Z1010" s="9">
        <v>49049</v>
      </c>
      <c r="AA1010" s="2"/>
      <c r="AB1010" s="69" t="s">
        <v>3892</v>
      </c>
      <c r="AC1010" s="5" t="s">
        <v>7</v>
      </c>
      <c r="AD1010" s="84" t="s">
        <v>1023</v>
      </c>
      <c r="AE1010" s="9">
        <v>45031</v>
      </c>
      <c r="AF1010" s="23">
        <v>100</v>
      </c>
      <c r="AG1010" s="9">
        <v>47679</v>
      </c>
      <c r="AH1010" s="5" t="s">
        <v>2</v>
      </c>
      <c r="AI1010" s="5" t="s">
        <v>1040</v>
      </c>
      <c r="AJ1010" s="5" t="s">
        <v>824</v>
      </c>
      <c r="AK1010" s="21" t="s">
        <v>2</v>
      </c>
      <c r="AL1010" s="72" t="s">
        <v>2745</v>
      </c>
      <c r="AM1010" s="54" t="s">
        <v>4179</v>
      </c>
      <c r="AN1010" s="34" t="s">
        <v>1625</v>
      </c>
    </row>
    <row r="1011" spans="2:40" x14ac:dyDescent="0.3">
      <c r="B1011" s="18" t="s">
        <v>2962</v>
      </c>
      <c r="C1011" s="47" t="s">
        <v>1560</v>
      </c>
      <c r="D1011" s="15" t="s">
        <v>1041</v>
      </c>
      <c r="E1011" s="68" t="s">
        <v>2</v>
      </c>
      <c r="F1011" s="55" t="s">
        <v>1164</v>
      </c>
      <c r="G1011" s="40" t="s">
        <v>1921</v>
      </c>
      <c r="H1011" s="71" t="s">
        <v>2745</v>
      </c>
      <c r="I1011" s="67" t="s">
        <v>8</v>
      </c>
      <c r="J1011" s="73" t="s">
        <v>270</v>
      </c>
      <c r="K1011" s="4">
        <v>6000000</v>
      </c>
      <c r="L1011" s="41">
        <v>97.247</v>
      </c>
      <c r="M1011" s="4">
        <v>5834820</v>
      </c>
      <c r="N1011" s="4">
        <v>6000000</v>
      </c>
      <c r="O1011" s="4">
        <v>6000000</v>
      </c>
      <c r="P1011" s="4">
        <v>0</v>
      </c>
      <c r="Q1011" s="4">
        <v>0</v>
      </c>
      <c r="R1011" s="4">
        <v>0</v>
      </c>
      <c r="S1011" s="4">
        <v>0</v>
      </c>
      <c r="T1011" s="23">
        <v>5.8929999999999998</v>
      </c>
      <c r="U1011" s="23">
        <v>5.9329999999999998</v>
      </c>
      <c r="V1011" s="5" t="s">
        <v>3551</v>
      </c>
      <c r="W1011" s="4">
        <v>71693</v>
      </c>
      <c r="X1011" s="4">
        <v>163870</v>
      </c>
      <c r="Y1011" s="9">
        <v>42926</v>
      </c>
      <c r="Z1011" s="9">
        <v>47684</v>
      </c>
      <c r="AA1011" s="2"/>
      <c r="AB1011" s="69" t="s">
        <v>3892</v>
      </c>
      <c r="AC1011" s="5" t="s">
        <v>7</v>
      </c>
      <c r="AD1011" s="84" t="s">
        <v>161</v>
      </c>
      <c r="AE1011" s="6"/>
      <c r="AF1011" s="23"/>
      <c r="AG1011" s="9">
        <v>46132</v>
      </c>
      <c r="AH1011" s="5" t="s">
        <v>2</v>
      </c>
      <c r="AI1011" s="5" t="s">
        <v>1332</v>
      </c>
      <c r="AJ1011" s="5" t="s">
        <v>824</v>
      </c>
      <c r="AK1011" s="21" t="s">
        <v>2</v>
      </c>
      <c r="AL1011" s="72" t="s">
        <v>2745</v>
      </c>
      <c r="AM1011" s="54" t="s">
        <v>4179</v>
      </c>
      <c r="AN1011" s="34" t="s">
        <v>1923</v>
      </c>
    </row>
    <row r="1012" spans="2:40" x14ac:dyDescent="0.3">
      <c r="B1012" s="18" t="s">
        <v>4103</v>
      </c>
      <c r="C1012" s="47" t="s">
        <v>4104</v>
      </c>
      <c r="D1012" s="15" t="s">
        <v>2460</v>
      </c>
      <c r="E1012" s="68" t="s">
        <v>2</v>
      </c>
      <c r="F1012" s="55" t="s">
        <v>1164</v>
      </c>
      <c r="G1012" s="40" t="s">
        <v>3894</v>
      </c>
      <c r="H1012" s="71" t="s">
        <v>2745</v>
      </c>
      <c r="I1012" s="67" t="s">
        <v>3408</v>
      </c>
      <c r="J1012" s="73" t="s">
        <v>270</v>
      </c>
      <c r="K1012" s="4">
        <v>4987500</v>
      </c>
      <c r="L1012" s="41">
        <v>100.23</v>
      </c>
      <c r="M1012" s="4">
        <v>5011500</v>
      </c>
      <c r="N1012" s="4">
        <v>5000000</v>
      </c>
      <c r="O1012" s="4">
        <v>4987591</v>
      </c>
      <c r="P1012" s="4">
        <v>0</v>
      </c>
      <c r="Q1012" s="4">
        <v>91</v>
      </c>
      <c r="R1012" s="4">
        <v>0</v>
      </c>
      <c r="S1012" s="4">
        <v>0</v>
      </c>
      <c r="T1012" s="23">
        <v>4.8499999999999996</v>
      </c>
      <c r="U1012" s="23">
        <v>4.9219999999999997</v>
      </c>
      <c r="V1012" s="5" t="s">
        <v>3551</v>
      </c>
      <c r="W1012" s="4">
        <v>29639</v>
      </c>
      <c r="X1012" s="4">
        <v>0</v>
      </c>
      <c r="Y1012" s="9">
        <v>44834</v>
      </c>
      <c r="Z1012" s="9">
        <v>49238</v>
      </c>
      <c r="AA1012" s="2"/>
      <c r="AB1012" s="69" t="s">
        <v>3892</v>
      </c>
      <c r="AC1012" s="5" t="s">
        <v>7</v>
      </c>
      <c r="AD1012" s="84" t="s">
        <v>1023</v>
      </c>
      <c r="AE1012" s="9">
        <v>45586</v>
      </c>
      <c r="AF1012" s="23">
        <v>100</v>
      </c>
      <c r="AG1012" s="9">
        <v>47320</v>
      </c>
      <c r="AH1012" s="5" t="s">
        <v>2</v>
      </c>
      <c r="AI1012" s="5" t="s">
        <v>3589</v>
      </c>
      <c r="AJ1012" s="5" t="s">
        <v>824</v>
      </c>
      <c r="AK1012" s="21" t="s">
        <v>2</v>
      </c>
      <c r="AL1012" s="72" t="s">
        <v>2745</v>
      </c>
      <c r="AM1012" s="54" t="s">
        <v>4179</v>
      </c>
      <c r="AN1012" s="34" t="s">
        <v>2278</v>
      </c>
    </row>
    <row r="1013" spans="2:40" x14ac:dyDescent="0.3">
      <c r="B1013" s="18" t="s">
        <v>1561</v>
      </c>
      <c r="C1013" s="47" t="s">
        <v>3827</v>
      </c>
      <c r="D1013" s="15" t="s">
        <v>2460</v>
      </c>
      <c r="E1013" s="68" t="s">
        <v>2</v>
      </c>
      <c r="F1013" s="55" t="s">
        <v>1164</v>
      </c>
      <c r="G1013" s="40" t="s">
        <v>3894</v>
      </c>
      <c r="H1013" s="71" t="s">
        <v>2745</v>
      </c>
      <c r="I1013" s="67" t="s">
        <v>1164</v>
      </c>
      <c r="J1013" s="73" t="s">
        <v>270</v>
      </c>
      <c r="K1013" s="4">
        <v>5000000</v>
      </c>
      <c r="L1013" s="41">
        <v>100.29600000000001</v>
      </c>
      <c r="M1013" s="4">
        <v>5014800</v>
      </c>
      <c r="N1013" s="4">
        <v>5000000</v>
      </c>
      <c r="O1013" s="4">
        <v>5000000</v>
      </c>
      <c r="P1013" s="4">
        <v>0</v>
      </c>
      <c r="Q1013" s="4">
        <v>0</v>
      </c>
      <c r="R1013" s="4">
        <v>0</v>
      </c>
      <c r="S1013" s="4">
        <v>0</v>
      </c>
      <c r="T1013" s="23">
        <v>5.3</v>
      </c>
      <c r="U1013" s="23">
        <v>5.3330000000000002</v>
      </c>
      <c r="V1013" s="5" t="s">
        <v>3551</v>
      </c>
      <c r="W1013" s="4">
        <v>32389</v>
      </c>
      <c r="X1013" s="4">
        <v>0</v>
      </c>
      <c r="Y1013" s="9">
        <v>44834</v>
      </c>
      <c r="Z1013" s="9">
        <v>49238</v>
      </c>
      <c r="AA1013" s="2"/>
      <c r="AB1013" s="69" t="s">
        <v>3892</v>
      </c>
      <c r="AC1013" s="5" t="s">
        <v>7</v>
      </c>
      <c r="AD1013" s="84" t="s">
        <v>1023</v>
      </c>
      <c r="AE1013" s="9">
        <v>45586</v>
      </c>
      <c r="AF1013" s="23">
        <v>100</v>
      </c>
      <c r="AG1013" s="9">
        <v>47869</v>
      </c>
      <c r="AH1013" s="5" t="s">
        <v>2</v>
      </c>
      <c r="AI1013" s="5" t="s">
        <v>3589</v>
      </c>
      <c r="AJ1013" s="5" t="s">
        <v>824</v>
      </c>
      <c r="AK1013" s="21" t="s">
        <v>2</v>
      </c>
      <c r="AL1013" s="72" t="s">
        <v>2745</v>
      </c>
      <c r="AM1013" s="54" t="s">
        <v>4179</v>
      </c>
      <c r="AN1013" s="34" t="s">
        <v>1625</v>
      </c>
    </row>
    <row r="1014" spans="2:40" x14ac:dyDescent="0.3">
      <c r="B1014" s="18" t="s">
        <v>2681</v>
      </c>
      <c r="C1014" s="47" t="s">
        <v>3590</v>
      </c>
      <c r="D1014" s="15" t="s">
        <v>4443</v>
      </c>
      <c r="E1014" s="68" t="s">
        <v>2</v>
      </c>
      <c r="F1014" s="55" t="s">
        <v>1164</v>
      </c>
      <c r="G1014" s="40" t="s">
        <v>2</v>
      </c>
      <c r="H1014" s="71" t="s">
        <v>2745</v>
      </c>
      <c r="I1014" s="67" t="s">
        <v>3408</v>
      </c>
      <c r="J1014" s="73" t="s">
        <v>270</v>
      </c>
      <c r="K1014" s="4">
        <v>7122863</v>
      </c>
      <c r="L1014" s="41">
        <v>98.528999999999996</v>
      </c>
      <c r="M1014" s="4">
        <v>7020191</v>
      </c>
      <c r="N1014" s="4">
        <v>7125000</v>
      </c>
      <c r="O1014" s="4">
        <v>7123747</v>
      </c>
      <c r="P1014" s="4">
        <v>0</v>
      </c>
      <c r="Q1014" s="4">
        <v>370</v>
      </c>
      <c r="R1014" s="4">
        <v>0</v>
      </c>
      <c r="S1014" s="4">
        <v>0</v>
      </c>
      <c r="T1014" s="23">
        <v>5.468</v>
      </c>
      <c r="U1014" s="23">
        <v>5.5129999999999999</v>
      </c>
      <c r="V1014" s="5" t="s">
        <v>3551</v>
      </c>
      <c r="W1014" s="4">
        <v>73596</v>
      </c>
      <c r="X1014" s="4">
        <v>159030</v>
      </c>
      <c r="Y1014" s="9">
        <v>44183</v>
      </c>
      <c r="Z1014" s="9">
        <v>47963</v>
      </c>
      <c r="AA1014" s="2"/>
      <c r="AB1014" s="69" t="s">
        <v>3892</v>
      </c>
      <c r="AC1014" s="5" t="s">
        <v>7</v>
      </c>
      <c r="AD1014" s="84" t="s">
        <v>1023</v>
      </c>
      <c r="AE1014" s="6"/>
      <c r="AF1014" s="23"/>
      <c r="AG1014" s="9">
        <v>46320</v>
      </c>
      <c r="AH1014" s="5" t="s">
        <v>2</v>
      </c>
      <c r="AI1014" s="5" t="s">
        <v>4105</v>
      </c>
      <c r="AJ1014" s="5" t="s">
        <v>824</v>
      </c>
      <c r="AK1014" s="21" t="s">
        <v>2</v>
      </c>
      <c r="AL1014" s="72" t="s">
        <v>2745</v>
      </c>
      <c r="AM1014" s="54" t="s">
        <v>4179</v>
      </c>
      <c r="AN1014" s="34" t="s">
        <v>2278</v>
      </c>
    </row>
    <row r="1015" spans="2:40" x14ac:dyDescent="0.3">
      <c r="B1015" s="18" t="s">
        <v>3828</v>
      </c>
      <c r="C1015" s="47" t="s">
        <v>1833</v>
      </c>
      <c r="D1015" s="15" t="s">
        <v>184</v>
      </c>
      <c r="E1015" s="68" t="s">
        <v>2</v>
      </c>
      <c r="F1015" s="55" t="s">
        <v>1164</v>
      </c>
      <c r="G1015" s="40" t="s">
        <v>1921</v>
      </c>
      <c r="H1015" s="71" t="s">
        <v>2745</v>
      </c>
      <c r="I1015" s="67" t="s">
        <v>1164</v>
      </c>
      <c r="J1015" s="73" t="s">
        <v>270</v>
      </c>
      <c r="K1015" s="4">
        <v>5000000</v>
      </c>
      <c r="L1015" s="41">
        <v>96.924000000000007</v>
      </c>
      <c r="M1015" s="4">
        <v>4846200</v>
      </c>
      <c r="N1015" s="4">
        <v>5000000</v>
      </c>
      <c r="O1015" s="4">
        <v>5000000</v>
      </c>
      <c r="P1015" s="4">
        <v>0</v>
      </c>
      <c r="Q1015" s="4">
        <v>0</v>
      </c>
      <c r="R1015" s="4">
        <v>0</v>
      </c>
      <c r="S1015" s="4">
        <v>0</v>
      </c>
      <c r="T1015" s="23">
        <v>5.7430000000000003</v>
      </c>
      <c r="U1015" s="23">
        <v>5.782</v>
      </c>
      <c r="V1015" s="5" t="s">
        <v>3551</v>
      </c>
      <c r="W1015" s="4">
        <v>58223</v>
      </c>
      <c r="X1015" s="4">
        <v>128954</v>
      </c>
      <c r="Y1015" s="9">
        <v>43025</v>
      </c>
      <c r="Z1015" s="9">
        <v>47868</v>
      </c>
      <c r="AA1015" s="2"/>
      <c r="AB1015" s="69" t="s">
        <v>3892</v>
      </c>
      <c r="AC1015" s="5" t="s">
        <v>7</v>
      </c>
      <c r="AD1015" s="84" t="s">
        <v>1023</v>
      </c>
      <c r="AE1015" s="6"/>
      <c r="AF1015" s="23"/>
      <c r="AG1015" s="9">
        <v>46132</v>
      </c>
      <c r="AH1015" s="5" t="s">
        <v>2</v>
      </c>
      <c r="AI1015" s="5" t="s">
        <v>1333</v>
      </c>
      <c r="AJ1015" s="5" t="s">
        <v>824</v>
      </c>
      <c r="AK1015" s="21" t="s">
        <v>2</v>
      </c>
      <c r="AL1015" s="72" t="s">
        <v>2745</v>
      </c>
      <c r="AM1015" s="54" t="s">
        <v>4179</v>
      </c>
      <c r="AN1015" s="34" t="s">
        <v>1625</v>
      </c>
    </row>
    <row r="1016" spans="2:40" x14ac:dyDescent="0.3">
      <c r="B1016" s="18" t="s">
        <v>436</v>
      </c>
      <c r="C1016" s="47" t="s">
        <v>3296</v>
      </c>
      <c r="D1016" s="15" t="s">
        <v>185</v>
      </c>
      <c r="E1016" s="68" t="s">
        <v>2</v>
      </c>
      <c r="F1016" s="55" t="s">
        <v>1164</v>
      </c>
      <c r="G1016" s="40" t="s">
        <v>3894</v>
      </c>
      <c r="H1016" s="71" t="s">
        <v>2745</v>
      </c>
      <c r="I1016" s="67" t="s">
        <v>1164</v>
      </c>
      <c r="J1016" s="73" t="s">
        <v>270</v>
      </c>
      <c r="K1016" s="4">
        <v>7000000</v>
      </c>
      <c r="L1016" s="41">
        <v>95.507000000000005</v>
      </c>
      <c r="M1016" s="4">
        <v>6685490</v>
      </c>
      <c r="N1016" s="4">
        <v>7000000</v>
      </c>
      <c r="O1016" s="4">
        <v>7000000</v>
      </c>
      <c r="P1016" s="4">
        <v>0</v>
      </c>
      <c r="Q1016" s="4">
        <v>0</v>
      </c>
      <c r="R1016" s="4">
        <v>0</v>
      </c>
      <c r="S1016" s="4">
        <v>0</v>
      </c>
      <c r="T1016" s="23">
        <v>6.0270000000000001</v>
      </c>
      <c r="U1016" s="23">
        <v>6.0460000000000003</v>
      </c>
      <c r="V1016" s="5" t="s">
        <v>3551</v>
      </c>
      <c r="W1016" s="4">
        <v>86716</v>
      </c>
      <c r="X1016" s="4">
        <v>200776</v>
      </c>
      <c r="Y1016" s="9">
        <v>44294</v>
      </c>
      <c r="Z1016" s="9">
        <v>49051</v>
      </c>
      <c r="AA1016" s="2"/>
      <c r="AB1016" s="69" t="s">
        <v>3892</v>
      </c>
      <c r="AC1016" s="5" t="s">
        <v>7</v>
      </c>
      <c r="AD1016" s="84" t="s">
        <v>1023</v>
      </c>
      <c r="AE1016" s="9">
        <v>45033</v>
      </c>
      <c r="AF1016" s="23">
        <v>100</v>
      </c>
      <c r="AG1016" s="9">
        <v>47681</v>
      </c>
      <c r="AH1016" s="5" t="s">
        <v>2</v>
      </c>
      <c r="AI1016" s="5" t="s">
        <v>3591</v>
      </c>
      <c r="AJ1016" s="5" t="s">
        <v>824</v>
      </c>
      <c r="AK1016" s="21" t="s">
        <v>2</v>
      </c>
      <c r="AL1016" s="72" t="s">
        <v>2745</v>
      </c>
      <c r="AM1016" s="54" t="s">
        <v>4179</v>
      </c>
      <c r="AN1016" s="34" t="s">
        <v>1625</v>
      </c>
    </row>
    <row r="1017" spans="2:40" x14ac:dyDescent="0.3">
      <c r="B1017" s="18" t="s">
        <v>1562</v>
      </c>
      <c r="C1017" s="47" t="s">
        <v>186</v>
      </c>
      <c r="D1017" s="15" t="s">
        <v>1563</v>
      </c>
      <c r="E1017" s="68" t="s">
        <v>2</v>
      </c>
      <c r="F1017" s="55" t="s">
        <v>1164</v>
      </c>
      <c r="G1017" s="40" t="s">
        <v>1921</v>
      </c>
      <c r="H1017" s="71" t="s">
        <v>2745</v>
      </c>
      <c r="I1017" s="67" t="s">
        <v>3408</v>
      </c>
      <c r="J1017" s="73" t="s">
        <v>270</v>
      </c>
      <c r="K1017" s="4">
        <v>1944000</v>
      </c>
      <c r="L1017" s="41">
        <v>96.653000000000006</v>
      </c>
      <c r="M1017" s="4">
        <v>1933060</v>
      </c>
      <c r="N1017" s="4">
        <v>2000000</v>
      </c>
      <c r="O1017" s="4">
        <v>1963203</v>
      </c>
      <c r="P1017" s="4">
        <v>0</v>
      </c>
      <c r="Q1017" s="4">
        <v>6040</v>
      </c>
      <c r="R1017" s="4">
        <v>0</v>
      </c>
      <c r="S1017" s="4">
        <v>0</v>
      </c>
      <c r="T1017" s="23">
        <v>5.3289999999999997</v>
      </c>
      <c r="U1017" s="23">
        <v>5.8789999999999996</v>
      </c>
      <c r="V1017" s="5" t="s">
        <v>3551</v>
      </c>
      <c r="W1017" s="4">
        <v>23093</v>
      </c>
      <c r="X1017" s="4">
        <v>45703</v>
      </c>
      <c r="Y1017" s="9">
        <v>43990</v>
      </c>
      <c r="Z1017" s="9">
        <v>47498</v>
      </c>
      <c r="AA1017" s="2"/>
      <c r="AB1017" s="69" t="s">
        <v>3892</v>
      </c>
      <c r="AC1017" s="5" t="s">
        <v>7</v>
      </c>
      <c r="AD1017" s="84" t="s">
        <v>1023</v>
      </c>
      <c r="AE1017" s="6"/>
      <c r="AF1017" s="23"/>
      <c r="AG1017" s="9">
        <v>46492</v>
      </c>
      <c r="AH1017" s="5" t="s">
        <v>2</v>
      </c>
      <c r="AI1017" s="5" t="s">
        <v>187</v>
      </c>
      <c r="AJ1017" s="5" t="s">
        <v>824</v>
      </c>
      <c r="AK1017" s="21" t="s">
        <v>2</v>
      </c>
      <c r="AL1017" s="72" t="s">
        <v>2745</v>
      </c>
      <c r="AM1017" s="54" t="s">
        <v>4179</v>
      </c>
      <c r="AN1017" s="34" t="s">
        <v>2278</v>
      </c>
    </row>
    <row r="1018" spans="2:40" x14ac:dyDescent="0.3">
      <c r="B1018" s="18" t="s">
        <v>2682</v>
      </c>
      <c r="C1018" s="47" t="s">
        <v>1334</v>
      </c>
      <c r="D1018" s="15" t="s">
        <v>4091</v>
      </c>
      <c r="E1018" s="68" t="s">
        <v>2</v>
      </c>
      <c r="F1018" s="55" t="s">
        <v>1164</v>
      </c>
      <c r="G1018" s="40" t="s">
        <v>1921</v>
      </c>
      <c r="H1018" s="71" t="s">
        <v>2745</v>
      </c>
      <c r="I1018" s="67" t="s">
        <v>287</v>
      </c>
      <c r="J1018" s="73" t="s">
        <v>270</v>
      </c>
      <c r="K1018" s="4">
        <v>7833218</v>
      </c>
      <c r="L1018" s="41">
        <v>87.177000000000007</v>
      </c>
      <c r="M1018" s="4">
        <v>6830827</v>
      </c>
      <c r="N1018" s="4">
        <v>7835551</v>
      </c>
      <c r="O1018" s="4">
        <v>7833764</v>
      </c>
      <c r="P1018" s="4">
        <v>0</v>
      </c>
      <c r="Q1018" s="4">
        <v>229</v>
      </c>
      <c r="R1018" s="4">
        <v>0</v>
      </c>
      <c r="S1018" s="4">
        <v>0</v>
      </c>
      <c r="T1018" s="23">
        <v>2.1</v>
      </c>
      <c r="U1018" s="23">
        <v>2.1150000000000002</v>
      </c>
      <c r="V1018" s="5" t="s">
        <v>398</v>
      </c>
      <c r="W1018" s="4">
        <v>5028</v>
      </c>
      <c r="X1018" s="4">
        <v>164547</v>
      </c>
      <c r="Y1018" s="9">
        <v>44082</v>
      </c>
      <c r="Z1018" s="9">
        <v>53225</v>
      </c>
      <c r="AA1018" s="2"/>
      <c r="AB1018" s="69" t="s">
        <v>3892</v>
      </c>
      <c r="AC1018" s="5" t="s">
        <v>7</v>
      </c>
      <c r="AD1018" s="84" t="s">
        <v>4179</v>
      </c>
      <c r="AE1018" s="6"/>
      <c r="AF1018" s="23"/>
      <c r="AG1018" s="9">
        <v>47654</v>
      </c>
      <c r="AH1018" s="5" t="s">
        <v>2</v>
      </c>
      <c r="AI1018" s="5" t="s">
        <v>2674</v>
      </c>
      <c r="AJ1018" s="5" t="s">
        <v>824</v>
      </c>
      <c r="AK1018" s="21" t="s">
        <v>2</v>
      </c>
      <c r="AL1018" s="72" t="s">
        <v>2745</v>
      </c>
      <c r="AM1018" s="54" t="s">
        <v>4179</v>
      </c>
      <c r="AN1018" s="34" t="s">
        <v>819</v>
      </c>
    </row>
    <row r="1019" spans="2:40" x14ac:dyDescent="0.3">
      <c r="B1019" s="18" t="s">
        <v>3829</v>
      </c>
      <c r="C1019" s="47" t="s">
        <v>2461</v>
      </c>
      <c r="D1019" s="15" t="s">
        <v>3830</v>
      </c>
      <c r="E1019" s="68" t="s">
        <v>2</v>
      </c>
      <c r="F1019" s="55" t="s">
        <v>1164</v>
      </c>
      <c r="G1019" s="40" t="s">
        <v>3894</v>
      </c>
      <c r="H1019" s="71" t="s">
        <v>2745</v>
      </c>
      <c r="I1019" s="67" t="s">
        <v>287</v>
      </c>
      <c r="J1019" s="73" t="s">
        <v>270</v>
      </c>
      <c r="K1019" s="4">
        <v>5971511</v>
      </c>
      <c r="L1019" s="41">
        <v>84.106999999999999</v>
      </c>
      <c r="M1019" s="4">
        <v>5024019</v>
      </c>
      <c r="N1019" s="4">
        <v>5973333</v>
      </c>
      <c r="O1019" s="4">
        <v>5971973</v>
      </c>
      <c r="P1019" s="4">
        <v>0</v>
      </c>
      <c r="Q1019" s="4">
        <v>236</v>
      </c>
      <c r="R1019" s="4">
        <v>0</v>
      </c>
      <c r="S1019" s="4">
        <v>0</v>
      </c>
      <c r="T1019" s="23">
        <v>1.68</v>
      </c>
      <c r="U1019" s="23">
        <v>1.694</v>
      </c>
      <c r="V1019" s="5" t="s">
        <v>398</v>
      </c>
      <c r="W1019" s="4">
        <v>3066</v>
      </c>
      <c r="X1019" s="4">
        <v>100352</v>
      </c>
      <c r="Y1019" s="9">
        <v>44229</v>
      </c>
      <c r="Z1019" s="9">
        <v>53378</v>
      </c>
      <c r="AA1019" s="2"/>
      <c r="AB1019" s="69" t="s">
        <v>3892</v>
      </c>
      <c r="AC1019" s="5" t="s">
        <v>7</v>
      </c>
      <c r="AD1019" s="84" t="s">
        <v>3564</v>
      </c>
      <c r="AE1019" s="9">
        <v>44977</v>
      </c>
      <c r="AF1019" s="23">
        <v>100</v>
      </c>
      <c r="AG1019" s="9">
        <v>46985</v>
      </c>
      <c r="AH1019" s="5" t="s">
        <v>2</v>
      </c>
      <c r="AI1019" s="5" t="s">
        <v>1564</v>
      </c>
      <c r="AJ1019" s="5" t="s">
        <v>824</v>
      </c>
      <c r="AK1019" s="21" t="s">
        <v>2</v>
      </c>
      <c r="AL1019" s="72" t="s">
        <v>2745</v>
      </c>
      <c r="AM1019" s="54" t="s">
        <v>4179</v>
      </c>
      <c r="AN1019" s="34" t="s">
        <v>819</v>
      </c>
    </row>
    <row r="1020" spans="2:40" x14ac:dyDescent="0.3">
      <c r="B1020" s="18" t="s">
        <v>695</v>
      </c>
      <c r="C1020" s="47" t="s">
        <v>437</v>
      </c>
      <c r="D1020" s="15" t="s">
        <v>3830</v>
      </c>
      <c r="E1020" s="68" t="s">
        <v>2</v>
      </c>
      <c r="F1020" s="55" t="s">
        <v>1164</v>
      </c>
      <c r="G1020" s="40" t="s">
        <v>3894</v>
      </c>
      <c r="H1020" s="71" t="s">
        <v>3894</v>
      </c>
      <c r="I1020" s="67" t="s">
        <v>8</v>
      </c>
      <c r="J1020" s="73" t="s">
        <v>270</v>
      </c>
      <c r="K1020" s="4">
        <v>1197248</v>
      </c>
      <c r="L1020" s="41">
        <v>83.207999999999998</v>
      </c>
      <c r="M1020" s="4">
        <v>996632</v>
      </c>
      <c r="N1020" s="4">
        <v>1197755</v>
      </c>
      <c r="O1020" s="4">
        <v>1197375</v>
      </c>
      <c r="P1020" s="4">
        <v>0</v>
      </c>
      <c r="Q1020" s="4">
        <v>65</v>
      </c>
      <c r="R1020" s="4">
        <v>0</v>
      </c>
      <c r="S1020" s="4">
        <v>0</v>
      </c>
      <c r="T1020" s="23">
        <v>2.52</v>
      </c>
      <c r="U1020" s="23">
        <v>2.5449999999999999</v>
      </c>
      <c r="V1020" s="5" t="s">
        <v>398</v>
      </c>
      <c r="W1020" s="4">
        <v>922</v>
      </c>
      <c r="X1020" s="4">
        <v>30183</v>
      </c>
      <c r="Y1020" s="9">
        <v>44229</v>
      </c>
      <c r="Z1020" s="9">
        <v>53378</v>
      </c>
      <c r="AA1020" s="2"/>
      <c r="AB1020" s="69" t="s">
        <v>3892</v>
      </c>
      <c r="AC1020" s="5" t="s">
        <v>7</v>
      </c>
      <c r="AD1020" s="84" t="s">
        <v>3564</v>
      </c>
      <c r="AE1020" s="9">
        <v>44977</v>
      </c>
      <c r="AF1020" s="23">
        <v>100</v>
      </c>
      <c r="AG1020" s="9">
        <v>46985</v>
      </c>
      <c r="AH1020" s="5" t="s">
        <v>2</v>
      </c>
      <c r="AI1020" s="5" t="s">
        <v>1564</v>
      </c>
      <c r="AJ1020" s="5" t="s">
        <v>824</v>
      </c>
      <c r="AK1020" s="21" t="s">
        <v>2</v>
      </c>
      <c r="AL1020" s="72" t="s">
        <v>2745</v>
      </c>
      <c r="AM1020" s="54" t="s">
        <v>4179</v>
      </c>
      <c r="AN1020" s="34" t="s">
        <v>1189</v>
      </c>
    </row>
    <row r="1021" spans="2:40" x14ac:dyDescent="0.3">
      <c r="B1021" s="18" t="s">
        <v>1834</v>
      </c>
      <c r="C1021" s="47" t="s">
        <v>2462</v>
      </c>
      <c r="D1021" s="15" t="s">
        <v>188</v>
      </c>
      <c r="E1021" s="68" t="s">
        <v>2</v>
      </c>
      <c r="F1021" s="55" t="s">
        <v>1164</v>
      </c>
      <c r="G1021" s="40" t="s">
        <v>3894</v>
      </c>
      <c r="H1021" s="71" t="s">
        <v>2745</v>
      </c>
      <c r="I1021" s="67" t="s">
        <v>3408</v>
      </c>
      <c r="J1021" s="73" t="s">
        <v>270</v>
      </c>
      <c r="K1021" s="4">
        <v>7000000</v>
      </c>
      <c r="L1021" s="41">
        <v>96.813000000000002</v>
      </c>
      <c r="M1021" s="4">
        <v>6776910</v>
      </c>
      <c r="N1021" s="4">
        <v>7000000</v>
      </c>
      <c r="O1021" s="4">
        <v>7000000</v>
      </c>
      <c r="P1021" s="4">
        <v>0</v>
      </c>
      <c r="Q1021" s="4">
        <v>0</v>
      </c>
      <c r="R1021" s="4">
        <v>0</v>
      </c>
      <c r="S1021" s="4">
        <v>0</v>
      </c>
      <c r="T1021" s="23">
        <v>5.843</v>
      </c>
      <c r="U1021" s="23">
        <v>5.8819999999999997</v>
      </c>
      <c r="V1021" s="5" t="s">
        <v>3551</v>
      </c>
      <c r="W1021" s="4">
        <v>82932</v>
      </c>
      <c r="X1021" s="4">
        <v>187633</v>
      </c>
      <c r="Y1021" s="9">
        <v>44207</v>
      </c>
      <c r="Z1021" s="9">
        <v>48964</v>
      </c>
      <c r="AA1021" s="2"/>
      <c r="AB1021" s="69" t="s">
        <v>3892</v>
      </c>
      <c r="AC1021" s="5" t="s">
        <v>7</v>
      </c>
      <c r="AD1021" s="84" t="s">
        <v>1023</v>
      </c>
      <c r="AE1021" s="9">
        <v>44946</v>
      </c>
      <c r="AF1021" s="23">
        <v>100</v>
      </c>
      <c r="AG1021" s="9">
        <v>47138</v>
      </c>
      <c r="AH1021" s="5" t="s">
        <v>2</v>
      </c>
      <c r="AI1021" s="5" t="s">
        <v>438</v>
      </c>
      <c r="AJ1021" s="5" t="s">
        <v>824</v>
      </c>
      <c r="AK1021" s="21" t="s">
        <v>2</v>
      </c>
      <c r="AL1021" s="72" t="s">
        <v>2745</v>
      </c>
      <c r="AM1021" s="54" t="s">
        <v>4179</v>
      </c>
      <c r="AN1021" s="34" t="s">
        <v>2278</v>
      </c>
    </row>
    <row r="1022" spans="2:40" x14ac:dyDescent="0.3">
      <c r="B1022" s="18" t="s">
        <v>2963</v>
      </c>
      <c r="C1022" s="47" t="s">
        <v>1042</v>
      </c>
      <c r="D1022" s="15" t="s">
        <v>3297</v>
      </c>
      <c r="E1022" s="68" t="s">
        <v>2</v>
      </c>
      <c r="F1022" s="55" t="s">
        <v>1164</v>
      </c>
      <c r="G1022" s="40" t="s">
        <v>1921</v>
      </c>
      <c r="H1022" s="71" t="s">
        <v>2745</v>
      </c>
      <c r="I1022" s="67" t="s">
        <v>1164</v>
      </c>
      <c r="J1022" s="73" t="s">
        <v>270</v>
      </c>
      <c r="K1022" s="4">
        <v>7000000</v>
      </c>
      <c r="L1022" s="41">
        <v>96.994</v>
      </c>
      <c r="M1022" s="4">
        <v>6789580</v>
      </c>
      <c r="N1022" s="4">
        <v>7000000</v>
      </c>
      <c r="O1022" s="4">
        <v>7000000</v>
      </c>
      <c r="P1022" s="4">
        <v>0</v>
      </c>
      <c r="Q1022" s="4">
        <v>0</v>
      </c>
      <c r="R1022" s="4">
        <v>0</v>
      </c>
      <c r="S1022" s="4">
        <v>0</v>
      </c>
      <c r="T1022" s="23">
        <v>5.8789999999999996</v>
      </c>
      <c r="U1022" s="23">
        <v>5.9080000000000004</v>
      </c>
      <c r="V1022" s="5" t="s">
        <v>3551</v>
      </c>
      <c r="W1022" s="4">
        <v>86881</v>
      </c>
      <c r="X1022" s="4">
        <v>199210</v>
      </c>
      <c r="Y1022" s="9">
        <v>43886</v>
      </c>
      <c r="Z1022" s="9">
        <v>48684</v>
      </c>
      <c r="AA1022" s="2"/>
      <c r="AB1022" s="69" t="s">
        <v>3892</v>
      </c>
      <c r="AC1022" s="5" t="s">
        <v>7</v>
      </c>
      <c r="AD1022" s="84" t="s">
        <v>1023</v>
      </c>
      <c r="AE1022" s="6"/>
      <c r="AF1022" s="23"/>
      <c r="AG1022" s="9">
        <v>47133</v>
      </c>
      <c r="AH1022" s="5" t="s">
        <v>2</v>
      </c>
      <c r="AI1022" s="5" t="s">
        <v>3298</v>
      </c>
      <c r="AJ1022" s="5" t="s">
        <v>824</v>
      </c>
      <c r="AK1022" s="21" t="s">
        <v>2</v>
      </c>
      <c r="AL1022" s="72" t="s">
        <v>2745</v>
      </c>
      <c r="AM1022" s="54" t="s">
        <v>4179</v>
      </c>
      <c r="AN1022" s="34" t="s">
        <v>1625</v>
      </c>
    </row>
    <row r="1023" spans="2:40" x14ac:dyDescent="0.3">
      <c r="B1023" s="18" t="s">
        <v>439</v>
      </c>
      <c r="C1023" s="47" t="s">
        <v>2163</v>
      </c>
      <c r="D1023" s="15" t="s">
        <v>2463</v>
      </c>
      <c r="E1023" s="68" t="s">
        <v>2</v>
      </c>
      <c r="F1023" s="55" t="s">
        <v>1164</v>
      </c>
      <c r="G1023" s="40" t="s">
        <v>2</v>
      </c>
      <c r="H1023" s="71" t="s">
        <v>2745</v>
      </c>
      <c r="I1023" s="67" t="s">
        <v>8</v>
      </c>
      <c r="J1023" s="73" t="s">
        <v>270</v>
      </c>
      <c r="K1023" s="4">
        <v>5000000</v>
      </c>
      <c r="L1023" s="41">
        <v>97.45</v>
      </c>
      <c r="M1023" s="4">
        <v>4872500</v>
      </c>
      <c r="N1023" s="4">
        <v>5000000</v>
      </c>
      <c r="O1023" s="4">
        <v>5000000</v>
      </c>
      <c r="P1023" s="4">
        <v>0</v>
      </c>
      <c r="Q1023" s="4">
        <v>0</v>
      </c>
      <c r="R1023" s="4">
        <v>0</v>
      </c>
      <c r="S1023" s="4">
        <v>0</v>
      </c>
      <c r="T1023" s="23">
        <v>5.7610000000000001</v>
      </c>
      <c r="U1023" s="23">
        <v>5.8019999999999996</v>
      </c>
      <c r="V1023" s="5" t="s">
        <v>3551</v>
      </c>
      <c r="W1023" s="4">
        <v>62409</v>
      </c>
      <c r="X1023" s="4">
        <v>139744</v>
      </c>
      <c r="Y1023" s="9">
        <v>44407</v>
      </c>
      <c r="Z1023" s="9">
        <v>48410</v>
      </c>
      <c r="AA1023" s="2"/>
      <c r="AB1023" s="69" t="s">
        <v>3892</v>
      </c>
      <c r="AC1023" s="5" t="s">
        <v>7</v>
      </c>
      <c r="AD1023" s="84" t="s">
        <v>1023</v>
      </c>
      <c r="AE1023" s="6"/>
      <c r="AF1023" s="23"/>
      <c r="AG1023" s="9">
        <v>46675</v>
      </c>
      <c r="AH1023" s="5" t="s">
        <v>2</v>
      </c>
      <c r="AI1023" s="5" t="s">
        <v>4444</v>
      </c>
      <c r="AJ1023" s="5" t="s">
        <v>824</v>
      </c>
      <c r="AK1023" s="21" t="s">
        <v>2</v>
      </c>
      <c r="AL1023" s="72" t="s">
        <v>2745</v>
      </c>
      <c r="AM1023" s="54" t="s">
        <v>4179</v>
      </c>
      <c r="AN1023" s="34" t="s">
        <v>1923</v>
      </c>
    </row>
    <row r="1024" spans="2:40" x14ac:dyDescent="0.3">
      <c r="B1024" s="18" t="s">
        <v>1565</v>
      </c>
      <c r="C1024" s="47" t="s">
        <v>2164</v>
      </c>
      <c r="D1024" s="15" t="s">
        <v>189</v>
      </c>
      <c r="E1024" s="68" t="s">
        <v>2</v>
      </c>
      <c r="F1024" s="55" t="s">
        <v>2274</v>
      </c>
      <c r="G1024" s="40" t="s">
        <v>1921</v>
      </c>
      <c r="H1024" s="71" t="s">
        <v>2745</v>
      </c>
      <c r="I1024" s="67" t="s">
        <v>3408</v>
      </c>
      <c r="J1024" s="73" t="s">
        <v>270</v>
      </c>
      <c r="K1024" s="4">
        <v>4937500</v>
      </c>
      <c r="L1024" s="41">
        <v>97.409000000000006</v>
      </c>
      <c r="M1024" s="4">
        <v>4870450</v>
      </c>
      <c r="N1024" s="4">
        <v>5000000</v>
      </c>
      <c r="O1024" s="4">
        <v>4964331</v>
      </c>
      <c r="P1024" s="4">
        <v>0</v>
      </c>
      <c r="Q1024" s="4">
        <v>3491</v>
      </c>
      <c r="R1024" s="4">
        <v>0</v>
      </c>
      <c r="S1024" s="4">
        <v>0</v>
      </c>
      <c r="T1024" s="23">
        <v>5.5590000000000002</v>
      </c>
      <c r="U1024" s="23">
        <v>5.7910000000000004</v>
      </c>
      <c r="V1024" s="5" t="s">
        <v>3551</v>
      </c>
      <c r="W1024" s="4">
        <v>58680</v>
      </c>
      <c r="X1024" s="4">
        <v>124480</v>
      </c>
      <c r="Y1024" s="9">
        <v>43473</v>
      </c>
      <c r="Z1024" s="9">
        <v>48043</v>
      </c>
      <c r="AA1024" s="2"/>
      <c r="AB1024" s="69" t="s">
        <v>3892</v>
      </c>
      <c r="AC1024" s="5" t="s">
        <v>7</v>
      </c>
      <c r="AD1024" s="84" t="s">
        <v>1023</v>
      </c>
      <c r="AE1024" s="6"/>
      <c r="AF1024" s="23"/>
      <c r="AG1024" s="9">
        <v>46492</v>
      </c>
      <c r="AH1024" s="5" t="s">
        <v>2</v>
      </c>
      <c r="AI1024" s="5" t="s">
        <v>4106</v>
      </c>
      <c r="AJ1024" s="5" t="s">
        <v>824</v>
      </c>
      <c r="AK1024" s="21" t="s">
        <v>2</v>
      </c>
      <c r="AL1024" s="72" t="s">
        <v>2745</v>
      </c>
      <c r="AM1024" s="54" t="s">
        <v>4179</v>
      </c>
      <c r="AN1024" s="34" t="s">
        <v>2278</v>
      </c>
    </row>
    <row r="1025" spans="2:40" x14ac:dyDescent="0.3">
      <c r="B1025" s="18" t="s">
        <v>2683</v>
      </c>
      <c r="C1025" s="47" t="s">
        <v>1043</v>
      </c>
      <c r="D1025" s="15" t="s">
        <v>440</v>
      </c>
      <c r="E1025" s="68" t="s">
        <v>2</v>
      </c>
      <c r="F1025" s="55" t="s">
        <v>1164</v>
      </c>
      <c r="G1025" s="40" t="s">
        <v>1921</v>
      </c>
      <c r="H1025" s="71" t="s">
        <v>2745</v>
      </c>
      <c r="I1025" s="67" t="s">
        <v>3408</v>
      </c>
      <c r="J1025" s="73" t="s">
        <v>270</v>
      </c>
      <c r="K1025" s="4">
        <v>5000000</v>
      </c>
      <c r="L1025" s="41">
        <v>97.436999999999998</v>
      </c>
      <c r="M1025" s="4">
        <v>4871850</v>
      </c>
      <c r="N1025" s="4">
        <v>5000000</v>
      </c>
      <c r="O1025" s="4">
        <v>5000000</v>
      </c>
      <c r="P1025" s="4">
        <v>0</v>
      </c>
      <c r="Q1025" s="4">
        <v>0</v>
      </c>
      <c r="R1025" s="4">
        <v>0</v>
      </c>
      <c r="S1025" s="4">
        <v>0</v>
      </c>
      <c r="T1025" s="23">
        <v>5.4290000000000003</v>
      </c>
      <c r="U1025" s="23">
        <v>5.4649999999999999</v>
      </c>
      <c r="V1025" s="5" t="s">
        <v>3551</v>
      </c>
      <c r="W1025" s="4">
        <v>57308</v>
      </c>
      <c r="X1025" s="4">
        <v>119329</v>
      </c>
      <c r="Y1025" s="9">
        <v>43007</v>
      </c>
      <c r="Z1025" s="9">
        <v>47771</v>
      </c>
      <c r="AA1025" s="2"/>
      <c r="AB1025" s="69" t="s">
        <v>3892</v>
      </c>
      <c r="AC1025" s="5" t="s">
        <v>7</v>
      </c>
      <c r="AD1025" s="84" t="s">
        <v>161</v>
      </c>
      <c r="AE1025" s="6"/>
      <c r="AF1025" s="23"/>
      <c r="AG1025" s="9">
        <v>45853</v>
      </c>
      <c r="AH1025" s="5" t="s">
        <v>2</v>
      </c>
      <c r="AI1025" s="5" t="s">
        <v>2964</v>
      </c>
      <c r="AJ1025" s="5" t="s">
        <v>824</v>
      </c>
      <c r="AK1025" s="21" t="s">
        <v>2</v>
      </c>
      <c r="AL1025" s="72" t="s">
        <v>2745</v>
      </c>
      <c r="AM1025" s="54" t="s">
        <v>4179</v>
      </c>
      <c r="AN1025" s="34" t="s">
        <v>2278</v>
      </c>
    </row>
    <row r="1026" spans="2:40" x14ac:dyDescent="0.3">
      <c r="B1026" s="18" t="s">
        <v>3831</v>
      </c>
      <c r="C1026" s="47" t="s">
        <v>3299</v>
      </c>
      <c r="D1026" s="15" t="s">
        <v>4107</v>
      </c>
      <c r="E1026" s="68" t="s">
        <v>2</v>
      </c>
      <c r="F1026" s="55" t="s">
        <v>1164</v>
      </c>
      <c r="G1026" s="40" t="s">
        <v>3894</v>
      </c>
      <c r="H1026" s="71" t="s">
        <v>2745</v>
      </c>
      <c r="I1026" s="67" t="s">
        <v>1164</v>
      </c>
      <c r="J1026" s="73" t="s">
        <v>270</v>
      </c>
      <c r="K1026" s="4">
        <v>9000000</v>
      </c>
      <c r="L1026" s="41">
        <v>96.852999999999994</v>
      </c>
      <c r="M1026" s="4">
        <v>8716770</v>
      </c>
      <c r="N1026" s="4">
        <v>9000000</v>
      </c>
      <c r="O1026" s="4">
        <v>9000000</v>
      </c>
      <c r="P1026" s="4">
        <v>0</v>
      </c>
      <c r="Q1026" s="4">
        <v>0</v>
      </c>
      <c r="R1026" s="4">
        <v>0</v>
      </c>
      <c r="S1026" s="4">
        <v>0</v>
      </c>
      <c r="T1026" s="23">
        <v>5.7610000000000001</v>
      </c>
      <c r="U1026" s="23">
        <v>5.8010000000000002</v>
      </c>
      <c r="V1026" s="5" t="s">
        <v>3551</v>
      </c>
      <c r="W1026" s="4">
        <v>112334</v>
      </c>
      <c r="X1026" s="4">
        <v>220935</v>
      </c>
      <c r="Y1026" s="9">
        <v>44546</v>
      </c>
      <c r="Z1026" s="9">
        <v>49324</v>
      </c>
      <c r="AA1026" s="2"/>
      <c r="AB1026" s="69" t="s">
        <v>3892</v>
      </c>
      <c r="AC1026" s="5" t="s">
        <v>7</v>
      </c>
      <c r="AD1026" s="84" t="s">
        <v>1023</v>
      </c>
      <c r="AE1026" s="9">
        <v>45306</v>
      </c>
      <c r="AF1026" s="23">
        <v>100</v>
      </c>
      <c r="AG1026" s="9">
        <v>47771</v>
      </c>
      <c r="AH1026" s="5" t="s">
        <v>2</v>
      </c>
      <c r="AI1026" s="5" t="s">
        <v>2464</v>
      </c>
      <c r="AJ1026" s="5" t="s">
        <v>824</v>
      </c>
      <c r="AK1026" s="21" t="s">
        <v>2</v>
      </c>
      <c r="AL1026" s="72" t="s">
        <v>3894</v>
      </c>
      <c r="AM1026" s="54" t="s">
        <v>4179</v>
      </c>
      <c r="AN1026" s="34" t="s">
        <v>1625</v>
      </c>
    </row>
    <row r="1027" spans="2:40" x14ac:dyDescent="0.3">
      <c r="B1027" s="18" t="s">
        <v>441</v>
      </c>
      <c r="C1027" s="47" t="s">
        <v>696</v>
      </c>
      <c r="D1027" s="15" t="s">
        <v>1835</v>
      </c>
      <c r="E1027" s="68" t="s">
        <v>2</v>
      </c>
      <c r="F1027" s="55" t="s">
        <v>1164</v>
      </c>
      <c r="G1027" s="40" t="s">
        <v>3894</v>
      </c>
      <c r="H1027" s="71" t="s">
        <v>2745</v>
      </c>
      <c r="I1027" s="67" t="s">
        <v>3408</v>
      </c>
      <c r="J1027" s="73" t="s">
        <v>270</v>
      </c>
      <c r="K1027" s="4">
        <v>10000000</v>
      </c>
      <c r="L1027" s="41">
        <v>97.766000000000005</v>
      </c>
      <c r="M1027" s="4">
        <v>9776600</v>
      </c>
      <c r="N1027" s="4">
        <v>10000000</v>
      </c>
      <c r="O1027" s="4">
        <v>10000000</v>
      </c>
      <c r="P1027" s="4">
        <v>0</v>
      </c>
      <c r="Q1027" s="4">
        <v>0</v>
      </c>
      <c r="R1027" s="4">
        <v>0</v>
      </c>
      <c r="S1027" s="4">
        <v>0</v>
      </c>
      <c r="T1027" s="23">
        <v>5.3929999999999998</v>
      </c>
      <c r="U1027" s="23">
        <v>5.4279999999999999</v>
      </c>
      <c r="V1027" s="5" t="s">
        <v>3551</v>
      </c>
      <c r="W1027" s="4">
        <v>109349</v>
      </c>
      <c r="X1027" s="4">
        <v>222423</v>
      </c>
      <c r="Y1027" s="9">
        <v>44469</v>
      </c>
      <c r="Z1027" s="9">
        <v>49237</v>
      </c>
      <c r="AA1027" s="2"/>
      <c r="AB1027" s="69" t="s">
        <v>3892</v>
      </c>
      <c r="AC1027" s="5" t="s">
        <v>7</v>
      </c>
      <c r="AD1027" s="84" t="s">
        <v>1023</v>
      </c>
      <c r="AE1027" s="9">
        <v>45219</v>
      </c>
      <c r="AF1027" s="23">
        <v>100</v>
      </c>
      <c r="AG1027" s="9">
        <v>46315</v>
      </c>
      <c r="AH1027" s="5" t="s">
        <v>2</v>
      </c>
      <c r="AI1027" s="5" t="s">
        <v>1566</v>
      </c>
      <c r="AJ1027" s="5" t="s">
        <v>824</v>
      </c>
      <c r="AK1027" s="21" t="s">
        <v>2</v>
      </c>
      <c r="AL1027" s="72" t="s">
        <v>2745</v>
      </c>
      <c r="AM1027" s="54" t="s">
        <v>4179</v>
      </c>
      <c r="AN1027" s="34" t="s">
        <v>2278</v>
      </c>
    </row>
    <row r="1028" spans="2:40" x14ac:dyDescent="0.3">
      <c r="B1028" s="7" t="s">
        <v>2744</v>
      </c>
      <c r="C1028" s="1" t="s">
        <v>2744</v>
      </c>
      <c r="D1028" s="8" t="s">
        <v>2744</v>
      </c>
      <c r="E1028" s="1" t="s">
        <v>2744</v>
      </c>
      <c r="F1028" s="1" t="s">
        <v>2744</v>
      </c>
      <c r="G1028" s="1" t="s">
        <v>2744</v>
      </c>
      <c r="H1028" s="1" t="s">
        <v>2744</v>
      </c>
      <c r="I1028" s="1" t="s">
        <v>2744</v>
      </c>
      <c r="J1028" s="1" t="s">
        <v>2744</v>
      </c>
      <c r="K1028" s="1" t="s">
        <v>2744</v>
      </c>
      <c r="L1028" s="1" t="s">
        <v>2744</v>
      </c>
      <c r="M1028" s="1" t="s">
        <v>2744</v>
      </c>
      <c r="N1028" s="1" t="s">
        <v>2744</v>
      </c>
      <c r="O1028" s="1" t="s">
        <v>2744</v>
      </c>
      <c r="P1028" s="1" t="s">
        <v>2744</v>
      </c>
      <c r="Q1028" s="1" t="s">
        <v>2744</v>
      </c>
      <c r="R1028" s="1" t="s">
        <v>2744</v>
      </c>
      <c r="S1028" s="1" t="s">
        <v>2744</v>
      </c>
      <c r="T1028" s="1" t="s">
        <v>2744</v>
      </c>
      <c r="U1028" s="1" t="s">
        <v>2744</v>
      </c>
      <c r="V1028" s="1" t="s">
        <v>2744</v>
      </c>
      <c r="W1028" s="1" t="s">
        <v>2744</v>
      </c>
      <c r="X1028" s="1" t="s">
        <v>2744</v>
      </c>
      <c r="Y1028" s="1" t="s">
        <v>2744</v>
      </c>
      <c r="Z1028" s="1" t="s">
        <v>2744</v>
      </c>
      <c r="AA1028" s="1" t="s">
        <v>2744</v>
      </c>
      <c r="AB1028" s="1" t="s">
        <v>2744</v>
      </c>
      <c r="AC1028" s="1" t="s">
        <v>2744</v>
      </c>
      <c r="AD1028" s="1" t="s">
        <v>2744</v>
      </c>
      <c r="AE1028" s="1" t="s">
        <v>2744</v>
      </c>
      <c r="AF1028" s="1" t="s">
        <v>2744</v>
      </c>
      <c r="AG1028" s="1" t="s">
        <v>2744</v>
      </c>
      <c r="AH1028" s="1" t="s">
        <v>2744</v>
      </c>
      <c r="AI1028" s="1" t="s">
        <v>2744</v>
      </c>
      <c r="AJ1028" s="1" t="s">
        <v>2744</v>
      </c>
      <c r="AK1028" s="1" t="s">
        <v>2744</v>
      </c>
      <c r="AL1028" s="1" t="s">
        <v>2744</v>
      </c>
      <c r="AM1028" s="1" t="s">
        <v>2744</v>
      </c>
      <c r="AN1028" s="1" t="s">
        <v>2744</v>
      </c>
    </row>
    <row r="1029" spans="2:40" ht="70" x14ac:dyDescent="0.3">
      <c r="B1029" s="19" t="s">
        <v>3592</v>
      </c>
      <c r="C1029" s="17" t="s">
        <v>1335</v>
      </c>
      <c r="D1029" s="16"/>
      <c r="E1029" s="2"/>
      <c r="F1029" s="2"/>
      <c r="G1029" s="2"/>
      <c r="H1029" s="2"/>
      <c r="I1029" s="2"/>
      <c r="J1029" s="2"/>
      <c r="K1029" s="3">
        <f>SUM(GMIC_22A_SCDPT1!SCDPT1_104BEGINNG_7:GMIC_22A_SCDPT1!SCDPT1_104ENDINGG_7)</f>
        <v>1092443451</v>
      </c>
      <c r="L1029" s="2"/>
      <c r="M1029" s="3">
        <f>SUM(GMIC_22A_SCDPT1!SCDPT1_104BEGINNG_9:GMIC_22A_SCDPT1!SCDPT1_104ENDINGG_9)</f>
        <v>1006039504</v>
      </c>
      <c r="N1029" s="3">
        <f>SUM(GMIC_22A_SCDPT1!SCDPT1_104BEGINNG_10:GMIC_22A_SCDPT1!SCDPT1_104ENDINGG_10)</f>
        <v>1092708716</v>
      </c>
      <c r="O1029" s="3">
        <f>SUM(GMIC_22A_SCDPT1!SCDPT1_104BEGINNG_11:GMIC_22A_SCDPT1!SCDPT1_104ENDINGG_11)</f>
        <v>1092531339</v>
      </c>
      <c r="P1029" s="3">
        <f>SUM(GMIC_22A_SCDPT1!SCDPT1_104BEGINNG_12:GMIC_22A_SCDPT1!SCDPT1_104ENDINGG_12)</f>
        <v>0</v>
      </c>
      <c r="Q1029" s="3">
        <f>SUM(GMIC_22A_SCDPT1!SCDPT1_104BEGINNG_13:GMIC_22A_SCDPT1!SCDPT1_104ENDINGG_13)</f>
        <v>24899</v>
      </c>
      <c r="R1029" s="3">
        <f>SUM(GMIC_22A_SCDPT1!SCDPT1_104BEGINNG_14:GMIC_22A_SCDPT1!SCDPT1_104ENDINGG_14)</f>
        <v>0</v>
      </c>
      <c r="S1029" s="3">
        <f>SUM(GMIC_22A_SCDPT1!SCDPT1_104BEGINNG_15:GMIC_22A_SCDPT1!SCDPT1_104ENDINGG_15)</f>
        <v>0</v>
      </c>
      <c r="T1029" s="2"/>
      <c r="U1029" s="2"/>
      <c r="V1029" s="2"/>
      <c r="W1029" s="3">
        <f>SUM(GMIC_22A_SCDPT1!SCDPT1_104BEGINNG_19:GMIC_22A_SCDPT1!SCDPT1_104ENDINGG_19)</f>
        <v>3438027</v>
      </c>
      <c r="X1029" s="3">
        <f>SUM(GMIC_22A_SCDPT1!SCDPT1_104BEGINNG_20:GMIC_22A_SCDPT1!SCDPT1_104ENDINGG_20)</f>
        <v>23672995</v>
      </c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</row>
    <row r="1030" spans="2:40" ht="42" x14ac:dyDescent="0.3">
      <c r="B1030" s="19" t="s">
        <v>2684</v>
      </c>
      <c r="C1030" s="17" t="s">
        <v>3832</v>
      </c>
      <c r="D1030" s="16"/>
      <c r="E1030" s="2"/>
      <c r="F1030" s="2"/>
      <c r="G1030" s="2"/>
      <c r="H1030" s="2"/>
      <c r="I1030" s="2"/>
      <c r="J1030" s="2"/>
      <c r="K1030" s="3">
        <f>GMIC_22A_SCDPT1!SCDPT1_1019999999_7+GMIC_22A_SCDPT1!SCDPT1_1029999999_7+GMIC_22A_SCDPT1!SCDPT1_1039999999_7+GMIC_22A_SCDPT1!SCDPT1_1049999999_7</f>
        <v>4612316686</v>
      </c>
      <c r="L1030" s="2"/>
      <c r="M1030" s="3">
        <f>GMIC_22A_SCDPT1!SCDPT1_1019999999_9+GMIC_22A_SCDPT1!SCDPT1_1029999999_9+GMIC_22A_SCDPT1!SCDPT1_1039999999_9+GMIC_22A_SCDPT1!SCDPT1_1049999999_9</f>
        <v>4211547972</v>
      </c>
      <c r="N1030" s="3">
        <f>GMIC_22A_SCDPT1!SCDPT1_1019999999_10+GMIC_22A_SCDPT1!SCDPT1_1029999999_10+GMIC_22A_SCDPT1!SCDPT1_1039999999_10+GMIC_22A_SCDPT1!SCDPT1_1049999999_10</f>
        <v>4611094618</v>
      </c>
      <c r="O1030" s="3">
        <f>GMIC_22A_SCDPT1!SCDPT1_1019999999_11+GMIC_22A_SCDPT1!SCDPT1_1029999999_11+GMIC_22A_SCDPT1!SCDPT1_1039999999_11+GMIC_22A_SCDPT1!SCDPT1_1049999999_11</f>
        <v>4593006267</v>
      </c>
      <c r="P1030" s="3">
        <f>GMIC_22A_SCDPT1!SCDPT1_1019999999_12+GMIC_22A_SCDPT1!SCDPT1_1029999999_12+GMIC_22A_SCDPT1!SCDPT1_1039999999_12+GMIC_22A_SCDPT1!SCDPT1_1049999999_12</f>
        <v>-15522228</v>
      </c>
      <c r="Q1030" s="3">
        <f>GMIC_22A_SCDPT1!SCDPT1_1019999999_13+GMIC_22A_SCDPT1!SCDPT1_1029999999_13+GMIC_22A_SCDPT1!SCDPT1_1039999999_13+GMIC_22A_SCDPT1!SCDPT1_1049999999_13</f>
        <v>-1352846</v>
      </c>
      <c r="R1030" s="3">
        <f>GMIC_22A_SCDPT1!SCDPT1_1019999999_14+GMIC_22A_SCDPT1!SCDPT1_1029999999_14+GMIC_22A_SCDPT1!SCDPT1_1039999999_14+GMIC_22A_SCDPT1!SCDPT1_1049999999_14</f>
        <v>0</v>
      </c>
      <c r="S1030" s="3">
        <f>GMIC_22A_SCDPT1!SCDPT1_1019999999_15+GMIC_22A_SCDPT1!SCDPT1_1029999999_15+GMIC_22A_SCDPT1!SCDPT1_1039999999_15+GMIC_22A_SCDPT1!SCDPT1_1049999999_15</f>
        <v>0</v>
      </c>
      <c r="T1030" s="2"/>
      <c r="U1030" s="2"/>
      <c r="V1030" s="2"/>
      <c r="W1030" s="3">
        <f>GMIC_22A_SCDPT1!SCDPT1_1019999999_19+GMIC_22A_SCDPT1!SCDPT1_1029999999_19+GMIC_22A_SCDPT1!SCDPT1_1039999999_19+GMIC_22A_SCDPT1!SCDPT1_1049999999_19</f>
        <v>31035517</v>
      </c>
      <c r="X1030" s="3">
        <f>GMIC_22A_SCDPT1!SCDPT1_1019999999_20+GMIC_22A_SCDPT1!SCDPT1_1029999999_20+GMIC_22A_SCDPT1!SCDPT1_1039999999_20+GMIC_22A_SCDPT1!SCDPT1_1049999999_20</f>
        <v>112794221</v>
      </c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</row>
    <row r="1031" spans="2:40" x14ac:dyDescent="0.3">
      <c r="B1031" s="7" t="s">
        <v>2744</v>
      </c>
      <c r="C1031" s="1" t="s">
        <v>2744</v>
      </c>
      <c r="D1031" s="8" t="s">
        <v>2744</v>
      </c>
      <c r="E1031" s="1" t="s">
        <v>2744</v>
      </c>
      <c r="F1031" s="1" t="s">
        <v>2744</v>
      </c>
      <c r="G1031" s="1" t="s">
        <v>2744</v>
      </c>
      <c r="H1031" s="1" t="s">
        <v>2744</v>
      </c>
      <c r="I1031" s="1" t="s">
        <v>2744</v>
      </c>
      <c r="J1031" s="1" t="s">
        <v>2744</v>
      </c>
      <c r="K1031" s="1" t="s">
        <v>2744</v>
      </c>
      <c r="L1031" s="1" t="s">
        <v>2744</v>
      </c>
      <c r="M1031" s="1" t="s">
        <v>2744</v>
      </c>
      <c r="N1031" s="1" t="s">
        <v>2744</v>
      </c>
      <c r="O1031" s="1" t="s">
        <v>2744</v>
      </c>
      <c r="P1031" s="1" t="s">
        <v>2744</v>
      </c>
      <c r="Q1031" s="1" t="s">
        <v>2744</v>
      </c>
      <c r="R1031" s="1" t="s">
        <v>2744</v>
      </c>
      <c r="S1031" s="1" t="s">
        <v>2744</v>
      </c>
      <c r="T1031" s="1" t="s">
        <v>2744</v>
      </c>
      <c r="U1031" s="1" t="s">
        <v>2744</v>
      </c>
      <c r="V1031" s="1" t="s">
        <v>2744</v>
      </c>
      <c r="W1031" s="1" t="s">
        <v>2744</v>
      </c>
      <c r="X1031" s="1" t="s">
        <v>2744</v>
      </c>
      <c r="Y1031" s="1" t="s">
        <v>2744</v>
      </c>
      <c r="Z1031" s="1" t="s">
        <v>2744</v>
      </c>
      <c r="AA1031" s="1" t="s">
        <v>2744</v>
      </c>
      <c r="AB1031" s="1" t="s">
        <v>2744</v>
      </c>
      <c r="AC1031" s="1" t="s">
        <v>2744</v>
      </c>
      <c r="AD1031" s="1" t="s">
        <v>2744</v>
      </c>
      <c r="AE1031" s="1" t="s">
        <v>2744</v>
      </c>
      <c r="AF1031" s="1" t="s">
        <v>2744</v>
      </c>
      <c r="AG1031" s="1" t="s">
        <v>2744</v>
      </c>
      <c r="AH1031" s="1" t="s">
        <v>2744</v>
      </c>
      <c r="AI1031" s="1" t="s">
        <v>2744</v>
      </c>
      <c r="AJ1031" s="1" t="s">
        <v>2744</v>
      </c>
      <c r="AK1031" s="1" t="s">
        <v>2744</v>
      </c>
      <c r="AL1031" s="1" t="s">
        <v>2744</v>
      </c>
      <c r="AM1031" s="1" t="s">
        <v>2744</v>
      </c>
      <c r="AN1031" s="1" t="s">
        <v>2744</v>
      </c>
    </row>
    <row r="1032" spans="2:40" x14ac:dyDescent="0.3">
      <c r="B1032" s="18" t="s">
        <v>1336</v>
      </c>
      <c r="C1032" s="25" t="s">
        <v>3897</v>
      </c>
      <c r="D1032" s="15" t="s">
        <v>2</v>
      </c>
      <c r="E1032" s="37" t="s">
        <v>2</v>
      </c>
      <c r="F1032" s="20" t="s">
        <v>2</v>
      </c>
      <c r="G1032" s="40" t="s">
        <v>2</v>
      </c>
      <c r="H1032" s="32" t="s">
        <v>2</v>
      </c>
      <c r="I1032" s="33" t="s">
        <v>2</v>
      </c>
      <c r="J1032" s="38" t="s">
        <v>2</v>
      </c>
      <c r="K1032" s="4"/>
      <c r="L1032" s="41"/>
      <c r="M1032" s="4"/>
      <c r="N1032" s="4"/>
      <c r="O1032" s="4"/>
      <c r="P1032" s="4"/>
      <c r="Q1032" s="4"/>
      <c r="R1032" s="4"/>
      <c r="S1032" s="4"/>
      <c r="T1032" s="23"/>
      <c r="U1032" s="23"/>
      <c r="V1032" s="5" t="s">
        <v>2</v>
      </c>
      <c r="W1032" s="4"/>
      <c r="X1032" s="4"/>
      <c r="Y1032" s="6"/>
      <c r="Z1032" s="6"/>
      <c r="AA1032" s="2"/>
      <c r="AB1032" s="31" t="s">
        <v>2</v>
      </c>
      <c r="AC1032" s="5" t="s">
        <v>2</v>
      </c>
      <c r="AD1032" s="2"/>
      <c r="AE1032" s="6"/>
      <c r="AF1032" s="23"/>
      <c r="AG1032" s="6"/>
      <c r="AH1032" s="5" t="s">
        <v>2</v>
      </c>
      <c r="AI1032" s="5" t="s">
        <v>2</v>
      </c>
      <c r="AJ1032" s="5" t="s">
        <v>2</v>
      </c>
      <c r="AK1032" s="21" t="s">
        <v>2</v>
      </c>
      <c r="AL1032" s="39" t="s">
        <v>2</v>
      </c>
      <c r="AM1032" s="26" t="s">
        <v>2</v>
      </c>
      <c r="AN1032" s="34" t="s">
        <v>2</v>
      </c>
    </row>
    <row r="1033" spans="2:40" x14ac:dyDescent="0.3">
      <c r="B1033" s="7" t="s">
        <v>2744</v>
      </c>
      <c r="C1033" s="1" t="s">
        <v>2744</v>
      </c>
      <c r="D1033" s="8" t="s">
        <v>2744</v>
      </c>
      <c r="E1033" s="1" t="s">
        <v>2744</v>
      </c>
      <c r="F1033" s="1" t="s">
        <v>2744</v>
      </c>
      <c r="G1033" s="1" t="s">
        <v>2744</v>
      </c>
      <c r="H1033" s="1" t="s">
        <v>2744</v>
      </c>
      <c r="I1033" s="1" t="s">
        <v>2744</v>
      </c>
      <c r="J1033" s="1" t="s">
        <v>2744</v>
      </c>
      <c r="K1033" s="1" t="s">
        <v>2744</v>
      </c>
      <c r="L1033" s="1" t="s">
        <v>2744</v>
      </c>
      <c r="M1033" s="1" t="s">
        <v>2744</v>
      </c>
      <c r="N1033" s="1" t="s">
        <v>2744</v>
      </c>
      <c r="O1033" s="1" t="s">
        <v>2744</v>
      </c>
      <c r="P1033" s="1" t="s">
        <v>2744</v>
      </c>
      <c r="Q1033" s="1" t="s">
        <v>2744</v>
      </c>
      <c r="R1033" s="1" t="s">
        <v>2744</v>
      </c>
      <c r="S1033" s="1" t="s">
        <v>2744</v>
      </c>
      <c r="T1033" s="1" t="s">
        <v>2744</v>
      </c>
      <c r="U1033" s="1" t="s">
        <v>2744</v>
      </c>
      <c r="V1033" s="1" t="s">
        <v>2744</v>
      </c>
      <c r="W1033" s="1" t="s">
        <v>2744</v>
      </c>
      <c r="X1033" s="1" t="s">
        <v>2744</v>
      </c>
      <c r="Y1033" s="1" t="s">
        <v>2744</v>
      </c>
      <c r="Z1033" s="1" t="s">
        <v>2744</v>
      </c>
      <c r="AA1033" s="1" t="s">
        <v>2744</v>
      </c>
      <c r="AB1033" s="1" t="s">
        <v>2744</v>
      </c>
      <c r="AC1033" s="1" t="s">
        <v>2744</v>
      </c>
      <c r="AD1033" s="1" t="s">
        <v>2744</v>
      </c>
      <c r="AE1033" s="1" t="s">
        <v>2744</v>
      </c>
      <c r="AF1033" s="1" t="s">
        <v>2744</v>
      </c>
      <c r="AG1033" s="1" t="s">
        <v>2744</v>
      </c>
      <c r="AH1033" s="1" t="s">
        <v>2744</v>
      </c>
      <c r="AI1033" s="1" t="s">
        <v>2744</v>
      </c>
      <c r="AJ1033" s="1" t="s">
        <v>2744</v>
      </c>
      <c r="AK1033" s="1" t="s">
        <v>2744</v>
      </c>
      <c r="AL1033" s="1" t="s">
        <v>2744</v>
      </c>
      <c r="AM1033" s="1" t="s">
        <v>2744</v>
      </c>
      <c r="AN1033" s="1" t="s">
        <v>2744</v>
      </c>
    </row>
    <row r="1034" spans="2:40" ht="28" x14ac:dyDescent="0.3">
      <c r="B1034" s="19" t="s">
        <v>2165</v>
      </c>
      <c r="C1034" s="17" t="s">
        <v>1567</v>
      </c>
      <c r="D1034" s="16"/>
      <c r="E1034" s="2"/>
      <c r="F1034" s="2"/>
      <c r="G1034" s="2"/>
      <c r="H1034" s="2"/>
      <c r="I1034" s="2"/>
      <c r="J1034" s="2"/>
      <c r="K1034" s="3">
        <f>SUM(GMIC_22A_SCDPT1!SCDPT1_121BEGINNG_7:GMIC_22A_SCDPT1!SCDPT1_121ENDINGG_7)</f>
        <v>0</v>
      </c>
      <c r="L1034" s="2"/>
      <c r="M1034" s="3">
        <f>SUM(GMIC_22A_SCDPT1!SCDPT1_121BEGINNG_9:GMIC_22A_SCDPT1!SCDPT1_121ENDINGG_9)</f>
        <v>0</v>
      </c>
      <c r="N1034" s="3">
        <f>SUM(GMIC_22A_SCDPT1!SCDPT1_121BEGINNG_10:GMIC_22A_SCDPT1!SCDPT1_121ENDINGG_10)</f>
        <v>0</v>
      </c>
      <c r="O1034" s="3">
        <f>SUM(GMIC_22A_SCDPT1!SCDPT1_121BEGINNG_11:GMIC_22A_SCDPT1!SCDPT1_121ENDINGG_11)</f>
        <v>0</v>
      </c>
      <c r="P1034" s="3">
        <f>SUM(GMIC_22A_SCDPT1!SCDPT1_121BEGINNG_12:GMIC_22A_SCDPT1!SCDPT1_121ENDINGG_12)</f>
        <v>0</v>
      </c>
      <c r="Q1034" s="3">
        <f>SUM(GMIC_22A_SCDPT1!SCDPT1_121BEGINNG_13:GMIC_22A_SCDPT1!SCDPT1_121ENDINGG_13)</f>
        <v>0</v>
      </c>
      <c r="R1034" s="3">
        <f>SUM(GMIC_22A_SCDPT1!SCDPT1_121BEGINNG_14:GMIC_22A_SCDPT1!SCDPT1_121ENDINGG_14)</f>
        <v>0</v>
      </c>
      <c r="S1034" s="3">
        <f>SUM(GMIC_22A_SCDPT1!SCDPT1_121BEGINNG_15:GMIC_22A_SCDPT1!SCDPT1_121ENDINGG_15)</f>
        <v>0</v>
      </c>
      <c r="T1034" s="2"/>
      <c r="U1034" s="2"/>
      <c r="V1034" s="2"/>
      <c r="W1034" s="3">
        <f>SUM(GMIC_22A_SCDPT1!SCDPT1_121BEGINNG_19:GMIC_22A_SCDPT1!SCDPT1_121ENDINGG_19)</f>
        <v>0</v>
      </c>
      <c r="X1034" s="3">
        <f>SUM(GMIC_22A_SCDPT1!SCDPT1_121BEGINNG_20:GMIC_22A_SCDPT1!SCDPT1_121ENDINGG_20)</f>
        <v>0</v>
      </c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</row>
    <row r="1035" spans="2:40" x14ac:dyDescent="0.3">
      <c r="B1035" s="7" t="s">
        <v>2744</v>
      </c>
      <c r="C1035" s="1" t="s">
        <v>2744</v>
      </c>
      <c r="D1035" s="8" t="s">
        <v>2744</v>
      </c>
      <c r="E1035" s="1" t="s">
        <v>2744</v>
      </c>
      <c r="F1035" s="1" t="s">
        <v>2744</v>
      </c>
      <c r="G1035" s="1" t="s">
        <v>2744</v>
      </c>
      <c r="H1035" s="1" t="s">
        <v>2744</v>
      </c>
      <c r="I1035" s="1" t="s">
        <v>2744</v>
      </c>
      <c r="J1035" s="1" t="s">
        <v>2744</v>
      </c>
      <c r="K1035" s="1" t="s">
        <v>2744</v>
      </c>
      <c r="L1035" s="1" t="s">
        <v>2744</v>
      </c>
      <c r="M1035" s="1" t="s">
        <v>2744</v>
      </c>
      <c r="N1035" s="1" t="s">
        <v>2744</v>
      </c>
      <c r="O1035" s="1" t="s">
        <v>2744</v>
      </c>
      <c r="P1035" s="1" t="s">
        <v>2744</v>
      </c>
      <c r="Q1035" s="1" t="s">
        <v>2744</v>
      </c>
      <c r="R1035" s="1" t="s">
        <v>2744</v>
      </c>
      <c r="S1035" s="1" t="s">
        <v>2744</v>
      </c>
      <c r="T1035" s="1" t="s">
        <v>2744</v>
      </c>
      <c r="U1035" s="1" t="s">
        <v>2744</v>
      </c>
      <c r="V1035" s="1" t="s">
        <v>2744</v>
      </c>
      <c r="W1035" s="1" t="s">
        <v>2744</v>
      </c>
      <c r="X1035" s="1" t="s">
        <v>2744</v>
      </c>
      <c r="Y1035" s="1" t="s">
        <v>2744</v>
      </c>
      <c r="Z1035" s="1" t="s">
        <v>2744</v>
      </c>
      <c r="AA1035" s="1" t="s">
        <v>2744</v>
      </c>
      <c r="AB1035" s="1" t="s">
        <v>2744</v>
      </c>
      <c r="AC1035" s="1" t="s">
        <v>2744</v>
      </c>
      <c r="AD1035" s="1" t="s">
        <v>2744</v>
      </c>
      <c r="AE1035" s="1" t="s">
        <v>2744</v>
      </c>
      <c r="AF1035" s="1" t="s">
        <v>2744</v>
      </c>
      <c r="AG1035" s="1" t="s">
        <v>2744</v>
      </c>
      <c r="AH1035" s="1" t="s">
        <v>2744</v>
      </c>
      <c r="AI1035" s="1" t="s">
        <v>2744</v>
      </c>
      <c r="AJ1035" s="1" t="s">
        <v>2744</v>
      </c>
      <c r="AK1035" s="1" t="s">
        <v>2744</v>
      </c>
      <c r="AL1035" s="1" t="s">
        <v>2744</v>
      </c>
      <c r="AM1035" s="1" t="s">
        <v>2744</v>
      </c>
      <c r="AN1035" s="1" t="s">
        <v>2744</v>
      </c>
    </row>
    <row r="1036" spans="2:40" x14ac:dyDescent="0.3">
      <c r="B1036" s="18" t="s">
        <v>442</v>
      </c>
      <c r="C1036" s="25" t="s">
        <v>3897</v>
      </c>
      <c r="D1036" s="15" t="s">
        <v>2</v>
      </c>
      <c r="E1036" s="37" t="s">
        <v>2</v>
      </c>
      <c r="F1036" s="20" t="s">
        <v>2</v>
      </c>
      <c r="G1036" s="40" t="s">
        <v>2</v>
      </c>
      <c r="H1036" s="32" t="s">
        <v>2</v>
      </c>
      <c r="I1036" s="33" t="s">
        <v>2</v>
      </c>
      <c r="J1036" s="38" t="s">
        <v>2</v>
      </c>
      <c r="K1036" s="4"/>
      <c r="L1036" s="41"/>
      <c r="M1036" s="4"/>
      <c r="N1036" s="4"/>
      <c r="O1036" s="4"/>
      <c r="P1036" s="4"/>
      <c r="Q1036" s="4"/>
      <c r="R1036" s="4"/>
      <c r="S1036" s="4"/>
      <c r="T1036" s="23"/>
      <c r="U1036" s="23"/>
      <c r="V1036" s="5" t="s">
        <v>2</v>
      </c>
      <c r="W1036" s="4"/>
      <c r="X1036" s="4"/>
      <c r="Y1036" s="6"/>
      <c r="Z1036" s="6"/>
      <c r="AA1036" s="2"/>
      <c r="AB1036" s="31" t="s">
        <v>2</v>
      </c>
      <c r="AC1036" s="5" t="s">
        <v>2</v>
      </c>
      <c r="AD1036" s="43" t="s">
        <v>2</v>
      </c>
      <c r="AE1036" s="6"/>
      <c r="AF1036" s="23"/>
      <c r="AG1036" s="6"/>
      <c r="AH1036" s="5" t="s">
        <v>2</v>
      </c>
      <c r="AI1036" s="5" t="s">
        <v>2</v>
      </c>
      <c r="AJ1036" s="5" t="s">
        <v>2</v>
      </c>
      <c r="AK1036" s="21" t="s">
        <v>2</v>
      </c>
      <c r="AL1036" s="39" t="s">
        <v>2</v>
      </c>
      <c r="AM1036" s="26" t="s">
        <v>2</v>
      </c>
      <c r="AN1036" s="34" t="s">
        <v>2</v>
      </c>
    </row>
    <row r="1037" spans="2:40" x14ac:dyDescent="0.3">
      <c r="B1037" s="7" t="s">
        <v>2744</v>
      </c>
      <c r="C1037" s="1" t="s">
        <v>2744</v>
      </c>
      <c r="D1037" s="8" t="s">
        <v>2744</v>
      </c>
      <c r="E1037" s="1" t="s">
        <v>2744</v>
      </c>
      <c r="F1037" s="1" t="s">
        <v>2744</v>
      </c>
      <c r="G1037" s="1" t="s">
        <v>2744</v>
      </c>
      <c r="H1037" s="1" t="s">
        <v>2744</v>
      </c>
      <c r="I1037" s="1" t="s">
        <v>2744</v>
      </c>
      <c r="J1037" s="1" t="s">
        <v>2744</v>
      </c>
      <c r="K1037" s="1" t="s">
        <v>2744</v>
      </c>
      <c r="L1037" s="1" t="s">
        <v>2744</v>
      </c>
      <c r="M1037" s="1" t="s">
        <v>2744</v>
      </c>
      <c r="N1037" s="1" t="s">
        <v>2744</v>
      </c>
      <c r="O1037" s="1" t="s">
        <v>2744</v>
      </c>
      <c r="P1037" s="1" t="s">
        <v>2744</v>
      </c>
      <c r="Q1037" s="1" t="s">
        <v>2744</v>
      </c>
      <c r="R1037" s="1" t="s">
        <v>2744</v>
      </c>
      <c r="S1037" s="1" t="s">
        <v>2744</v>
      </c>
      <c r="T1037" s="1" t="s">
        <v>2744</v>
      </c>
      <c r="U1037" s="1" t="s">
        <v>2744</v>
      </c>
      <c r="V1037" s="1" t="s">
        <v>2744</v>
      </c>
      <c r="W1037" s="1" t="s">
        <v>2744</v>
      </c>
      <c r="X1037" s="1" t="s">
        <v>2744</v>
      </c>
      <c r="Y1037" s="1" t="s">
        <v>2744</v>
      </c>
      <c r="Z1037" s="1" t="s">
        <v>2744</v>
      </c>
      <c r="AA1037" s="1" t="s">
        <v>2744</v>
      </c>
      <c r="AB1037" s="1" t="s">
        <v>2744</v>
      </c>
      <c r="AC1037" s="1" t="s">
        <v>2744</v>
      </c>
      <c r="AD1037" s="1" t="s">
        <v>2744</v>
      </c>
      <c r="AE1037" s="1" t="s">
        <v>2744</v>
      </c>
      <c r="AF1037" s="1" t="s">
        <v>2744</v>
      </c>
      <c r="AG1037" s="1" t="s">
        <v>2744</v>
      </c>
      <c r="AH1037" s="1" t="s">
        <v>2744</v>
      </c>
      <c r="AI1037" s="1" t="s">
        <v>2744</v>
      </c>
      <c r="AJ1037" s="1" t="s">
        <v>2744</v>
      </c>
      <c r="AK1037" s="1" t="s">
        <v>2744</v>
      </c>
      <c r="AL1037" s="1" t="s">
        <v>2744</v>
      </c>
      <c r="AM1037" s="1" t="s">
        <v>2744</v>
      </c>
      <c r="AN1037" s="1" t="s">
        <v>2744</v>
      </c>
    </row>
    <row r="1038" spans="2:40" ht="42" x14ac:dyDescent="0.3">
      <c r="B1038" s="19" t="s">
        <v>1337</v>
      </c>
      <c r="C1038" s="17" t="s">
        <v>2685</v>
      </c>
      <c r="D1038" s="16"/>
      <c r="E1038" s="2"/>
      <c r="F1038" s="2"/>
      <c r="G1038" s="2"/>
      <c r="H1038" s="2"/>
      <c r="I1038" s="2"/>
      <c r="J1038" s="2"/>
      <c r="K1038" s="3">
        <f>SUM(GMIC_22A_SCDPT1!SCDPT1_122BEGINNG_7:GMIC_22A_SCDPT1!SCDPT1_122ENDINGG_7)</f>
        <v>0</v>
      </c>
      <c r="L1038" s="2"/>
      <c r="M1038" s="3">
        <f>SUM(GMIC_22A_SCDPT1!SCDPT1_122BEGINNG_9:GMIC_22A_SCDPT1!SCDPT1_122ENDINGG_9)</f>
        <v>0</v>
      </c>
      <c r="N1038" s="3">
        <f>SUM(GMIC_22A_SCDPT1!SCDPT1_122BEGINNG_10:GMIC_22A_SCDPT1!SCDPT1_122ENDINGG_10)</f>
        <v>0</v>
      </c>
      <c r="O1038" s="3">
        <f>SUM(GMIC_22A_SCDPT1!SCDPT1_122BEGINNG_11:GMIC_22A_SCDPT1!SCDPT1_122ENDINGG_11)</f>
        <v>0</v>
      </c>
      <c r="P1038" s="3">
        <f>SUM(GMIC_22A_SCDPT1!SCDPT1_122BEGINNG_12:GMIC_22A_SCDPT1!SCDPT1_122ENDINGG_12)</f>
        <v>0</v>
      </c>
      <c r="Q1038" s="3">
        <f>SUM(GMIC_22A_SCDPT1!SCDPT1_122BEGINNG_13:GMIC_22A_SCDPT1!SCDPT1_122ENDINGG_13)</f>
        <v>0</v>
      </c>
      <c r="R1038" s="3">
        <f>SUM(GMIC_22A_SCDPT1!SCDPT1_122BEGINNG_14:GMIC_22A_SCDPT1!SCDPT1_122ENDINGG_14)</f>
        <v>0</v>
      </c>
      <c r="S1038" s="3">
        <f>SUM(GMIC_22A_SCDPT1!SCDPT1_122BEGINNG_15:GMIC_22A_SCDPT1!SCDPT1_122ENDINGG_15)</f>
        <v>0</v>
      </c>
      <c r="T1038" s="2"/>
      <c r="U1038" s="2"/>
      <c r="V1038" s="2"/>
      <c r="W1038" s="3">
        <f>SUM(GMIC_22A_SCDPT1!SCDPT1_122BEGINNG_19:GMIC_22A_SCDPT1!SCDPT1_122ENDINGG_19)</f>
        <v>0</v>
      </c>
      <c r="X1038" s="3">
        <f>SUM(GMIC_22A_SCDPT1!SCDPT1_122BEGINNG_20:GMIC_22A_SCDPT1!SCDPT1_122ENDINGG_20)</f>
        <v>0</v>
      </c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</row>
    <row r="1039" spans="2:40" x14ac:dyDescent="0.3">
      <c r="B1039" s="7" t="s">
        <v>2744</v>
      </c>
      <c r="C1039" s="1" t="s">
        <v>2744</v>
      </c>
      <c r="D1039" s="8" t="s">
        <v>2744</v>
      </c>
      <c r="E1039" s="1" t="s">
        <v>2744</v>
      </c>
      <c r="F1039" s="1" t="s">
        <v>2744</v>
      </c>
      <c r="G1039" s="1" t="s">
        <v>2744</v>
      </c>
      <c r="H1039" s="1" t="s">
        <v>2744</v>
      </c>
      <c r="I1039" s="1" t="s">
        <v>2744</v>
      </c>
      <c r="J1039" s="1" t="s">
        <v>2744</v>
      </c>
      <c r="K1039" s="1" t="s">
        <v>2744</v>
      </c>
      <c r="L1039" s="1" t="s">
        <v>2744</v>
      </c>
      <c r="M1039" s="1" t="s">
        <v>2744</v>
      </c>
      <c r="N1039" s="1" t="s">
        <v>2744</v>
      </c>
      <c r="O1039" s="1" t="s">
        <v>2744</v>
      </c>
      <c r="P1039" s="1" t="s">
        <v>2744</v>
      </c>
      <c r="Q1039" s="1" t="s">
        <v>2744</v>
      </c>
      <c r="R1039" s="1" t="s">
        <v>2744</v>
      </c>
      <c r="S1039" s="1" t="s">
        <v>2744</v>
      </c>
      <c r="T1039" s="1" t="s">
        <v>2744</v>
      </c>
      <c r="U1039" s="1" t="s">
        <v>2744</v>
      </c>
      <c r="V1039" s="1" t="s">
        <v>2744</v>
      </c>
      <c r="W1039" s="1" t="s">
        <v>2744</v>
      </c>
      <c r="X1039" s="1" t="s">
        <v>2744</v>
      </c>
      <c r="Y1039" s="1" t="s">
        <v>2744</v>
      </c>
      <c r="Z1039" s="1" t="s">
        <v>2744</v>
      </c>
      <c r="AA1039" s="1" t="s">
        <v>2744</v>
      </c>
      <c r="AB1039" s="1" t="s">
        <v>2744</v>
      </c>
      <c r="AC1039" s="1" t="s">
        <v>2744</v>
      </c>
      <c r="AD1039" s="1" t="s">
        <v>2744</v>
      </c>
      <c r="AE1039" s="1" t="s">
        <v>2744</v>
      </c>
      <c r="AF1039" s="1" t="s">
        <v>2744</v>
      </c>
      <c r="AG1039" s="1" t="s">
        <v>2744</v>
      </c>
      <c r="AH1039" s="1" t="s">
        <v>2744</v>
      </c>
      <c r="AI1039" s="1" t="s">
        <v>2744</v>
      </c>
      <c r="AJ1039" s="1" t="s">
        <v>2744</v>
      </c>
      <c r="AK1039" s="1" t="s">
        <v>2744</v>
      </c>
      <c r="AL1039" s="1" t="s">
        <v>2744</v>
      </c>
      <c r="AM1039" s="1" t="s">
        <v>2744</v>
      </c>
      <c r="AN1039" s="1" t="s">
        <v>2744</v>
      </c>
    </row>
    <row r="1040" spans="2:40" x14ac:dyDescent="0.3">
      <c r="B1040" s="18" t="s">
        <v>4108</v>
      </c>
      <c r="C1040" s="25" t="s">
        <v>3897</v>
      </c>
      <c r="D1040" s="15" t="s">
        <v>2</v>
      </c>
      <c r="E1040" s="37" t="s">
        <v>2</v>
      </c>
      <c r="F1040" s="20" t="s">
        <v>2</v>
      </c>
      <c r="G1040" s="40" t="s">
        <v>2</v>
      </c>
      <c r="H1040" s="32" t="s">
        <v>2</v>
      </c>
      <c r="I1040" s="33" t="s">
        <v>2</v>
      </c>
      <c r="J1040" s="38" t="s">
        <v>2</v>
      </c>
      <c r="K1040" s="4"/>
      <c r="L1040" s="41"/>
      <c r="M1040" s="4"/>
      <c r="N1040" s="4"/>
      <c r="O1040" s="4"/>
      <c r="P1040" s="4"/>
      <c r="Q1040" s="4"/>
      <c r="R1040" s="4"/>
      <c r="S1040" s="4"/>
      <c r="T1040" s="23"/>
      <c r="U1040" s="23"/>
      <c r="V1040" s="5" t="s">
        <v>2</v>
      </c>
      <c r="W1040" s="4"/>
      <c r="X1040" s="4"/>
      <c r="Y1040" s="6"/>
      <c r="Z1040" s="6"/>
      <c r="AA1040" s="2"/>
      <c r="AB1040" s="31" t="s">
        <v>2</v>
      </c>
      <c r="AC1040" s="5" t="s">
        <v>2</v>
      </c>
      <c r="AD1040" s="43" t="s">
        <v>2</v>
      </c>
      <c r="AE1040" s="6"/>
      <c r="AF1040" s="23"/>
      <c r="AG1040" s="6"/>
      <c r="AH1040" s="5" t="s">
        <v>2</v>
      </c>
      <c r="AI1040" s="5" t="s">
        <v>2</v>
      </c>
      <c r="AJ1040" s="5" t="s">
        <v>2</v>
      </c>
      <c r="AK1040" s="21" t="s">
        <v>2</v>
      </c>
      <c r="AL1040" s="39" t="s">
        <v>2</v>
      </c>
      <c r="AM1040" s="26" t="s">
        <v>2</v>
      </c>
      <c r="AN1040" s="34" t="s">
        <v>2</v>
      </c>
    </row>
    <row r="1041" spans="2:40" x14ac:dyDescent="0.3">
      <c r="B1041" s="7" t="s">
        <v>2744</v>
      </c>
      <c r="C1041" s="1" t="s">
        <v>2744</v>
      </c>
      <c r="D1041" s="8" t="s">
        <v>2744</v>
      </c>
      <c r="E1041" s="1" t="s">
        <v>2744</v>
      </c>
      <c r="F1041" s="1" t="s">
        <v>2744</v>
      </c>
      <c r="G1041" s="1" t="s">
        <v>2744</v>
      </c>
      <c r="H1041" s="1" t="s">
        <v>2744</v>
      </c>
      <c r="I1041" s="1" t="s">
        <v>2744</v>
      </c>
      <c r="J1041" s="1" t="s">
        <v>2744</v>
      </c>
      <c r="K1041" s="1" t="s">
        <v>2744</v>
      </c>
      <c r="L1041" s="1" t="s">
        <v>2744</v>
      </c>
      <c r="M1041" s="1" t="s">
        <v>2744</v>
      </c>
      <c r="N1041" s="1" t="s">
        <v>2744</v>
      </c>
      <c r="O1041" s="1" t="s">
        <v>2744</v>
      </c>
      <c r="P1041" s="1" t="s">
        <v>2744</v>
      </c>
      <c r="Q1041" s="1" t="s">
        <v>2744</v>
      </c>
      <c r="R1041" s="1" t="s">
        <v>2744</v>
      </c>
      <c r="S1041" s="1" t="s">
        <v>2744</v>
      </c>
      <c r="T1041" s="1" t="s">
        <v>2744</v>
      </c>
      <c r="U1041" s="1" t="s">
        <v>2744</v>
      </c>
      <c r="V1041" s="1" t="s">
        <v>2744</v>
      </c>
      <c r="W1041" s="1" t="s">
        <v>2744</v>
      </c>
      <c r="X1041" s="1" t="s">
        <v>2744</v>
      </c>
      <c r="Y1041" s="1" t="s">
        <v>2744</v>
      </c>
      <c r="Z1041" s="1" t="s">
        <v>2744</v>
      </c>
      <c r="AA1041" s="1" t="s">
        <v>2744</v>
      </c>
      <c r="AB1041" s="1" t="s">
        <v>2744</v>
      </c>
      <c r="AC1041" s="1" t="s">
        <v>2744</v>
      </c>
      <c r="AD1041" s="1" t="s">
        <v>2744</v>
      </c>
      <c r="AE1041" s="1" t="s">
        <v>2744</v>
      </c>
      <c r="AF1041" s="1" t="s">
        <v>2744</v>
      </c>
      <c r="AG1041" s="1" t="s">
        <v>2744</v>
      </c>
      <c r="AH1041" s="1" t="s">
        <v>2744</v>
      </c>
      <c r="AI1041" s="1" t="s">
        <v>2744</v>
      </c>
      <c r="AJ1041" s="1" t="s">
        <v>2744</v>
      </c>
      <c r="AK1041" s="1" t="s">
        <v>2744</v>
      </c>
      <c r="AL1041" s="1" t="s">
        <v>2744</v>
      </c>
      <c r="AM1041" s="1" t="s">
        <v>2744</v>
      </c>
      <c r="AN1041" s="1" t="s">
        <v>2744</v>
      </c>
    </row>
    <row r="1042" spans="2:40" ht="42" x14ac:dyDescent="0.3">
      <c r="B1042" s="19" t="s">
        <v>443</v>
      </c>
      <c r="C1042" s="17" t="s">
        <v>1568</v>
      </c>
      <c r="D1042" s="16"/>
      <c r="E1042" s="2"/>
      <c r="F1042" s="2"/>
      <c r="G1042" s="2"/>
      <c r="H1042" s="2"/>
      <c r="I1042" s="2"/>
      <c r="J1042" s="2"/>
      <c r="K1042" s="3">
        <f>SUM(GMIC_22A_SCDPT1!SCDPT1_123BEGINNG_7:GMIC_22A_SCDPT1!SCDPT1_123ENDINGG_7)</f>
        <v>0</v>
      </c>
      <c r="L1042" s="2"/>
      <c r="M1042" s="3">
        <f>SUM(GMIC_22A_SCDPT1!SCDPT1_123BEGINNG_9:GMIC_22A_SCDPT1!SCDPT1_123ENDINGG_9)</f>
        <v>0</v>
      </c>
      <c r="N1042" s="3">
        <f>SUM(GMIC_22A_SCDPT1!SCDPT1_123BEGINNG_10:GMIC_22A_SCDPT1!SCDPT1_123ENDINGG_10)</f>
        <v>0</v>
      </c>
      <c r="O1042" s="3">
        <f>SUM(GMIC_22A_SCDPT1!SCDPT1_123BEGINNG_11:GMIC_22A_SCDPT1!SCDPT1_123ENDINGG_11)</f>
        <v>0</v>
      </c>
      <c r="P1042" s="3">
        <f>SUM(GMIC_22A_SCDPT1!SCDPT1_123BEGINNG_12:GMIC_22A_SCDPT1!SCDPT1_123ENDINGG_12)</f>
        <v>0</v>
      </c>
      <c r="Q1042" s="3">
        <f>SUM(GMIC_22A_SCDPT1!SCDPT1_123BEGINNG_13:GMIC_22A_SCDPT1!SCDPT1_123ENDINGG_13)</f>
        <v>0</v>
      </c>
      <c r="R1042" s="3">
        <f>SUM(GMIC_22A_SCDPT1!SCDPT1_123BEGINNG_14:GMIC_22A_SCDPT1!SCDPT1_123ENDINGG_14)</f>
        <v>0</v>
      </c>
      <c r="S1042" s="3">
        <f>SUM(GMIC_22A_SCDPT1!SCDPT1_123BEGINNG_15:GMIC_22A_SCDPT1!SCDPT1_123ENDINGG_15)</f>
        <v>0</v>
      </c>
      <c r="T1042" s="2"/>
      <c r="U1042" s="2"/>
      <c r="V1042" s="2"/>
      <c r="W1042" s="3">
        <f>SUM(GMIC_22A_SCDPT1!SCDPT1_123BEGINNG_19:GMIC_22A_SCDPT1!SCDPT1_123ENDINGG_19)</f>
        <v>0</v>
      </c>
      <c r="X1042" s="3">
        <f>SUM(GMIC_22A_SCDPT1!SCDPT1_123BEGINNG_20:GMIC_22A_SCDPT1!SCDPT1_123ENDINGG_20)</f>
        <v>0</v>
      </c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</row>
    <row r="1043" spans="2:40" x14ac:dyDescent="0.3">
      <c r="B1043" s="7" t="s">
        <v>2744</v>
      </c>
      <c r="C1043" s="1" t="s">
        <v>2744</v>
      </c>
      <c r="D1043" s="8" t="s">
        <v>2744</v>
      </c>
      <c r="E1043" s="1" t="s">
        <v>2744</v>
      </c>
      <c r="F1043" s="1" t="s">
        <v>2744</v>
      </c>
      <c r="G1043" s="1" t="s">
        <v>2744</v>
      </c>
      <c r="H1043" s="1" t="s">
        <v>2744</v>
      </c>
      <c r="I1043" s="1" t="s">
        <v>2744</v>
      </c>
      <c r="J1043" s="1" t="s">
        <v>2744</v>
      </c>
      <c r="K1043" s="1" t="s">
        <v>2744</v>
      </c>
      <c r="L1043" s="1" t="s">
        <v>2744</v>
      </c>
      <c r="M1043" s="1" t="s">
        <v>2744</v>
      </c>
      <c r="N1043" s="1" t="s">
        <v>2744</v>
      </c>
      <c r="O1043" s="1" t="s">
        <v>2744</v>
      </c>
      <c r="P1043" s="1" t="s">
        <v>2744</v>
      </c>
      <c r="Q1043" s="1" t="s">
        <v>2744</v>
      </c>
      <c r="R1043" s="1" t="s">
        <v>2744</v>
      </c>
      <c r="S1043" s="1" t="s">
        <v>2744</v>
      </c>
      <c r="T1043" s="1" t="s">
        <v>2744</v>
      </c>
      <c r="U1043" s="1" t="s">
        <v>2744</v>
      </c>
      <c r="V1043" s="1" t="s">
        <v>2744</v>
      </c>
      <c r="W1043" s="1" t="s">
        <v>2744</v>
      </c>
      <c r="X1043" s="1" t="s">
        <v>2744</v>
      </c>
      <c r="Y1043" s="1" t="s">
        <v>2744</v>
      </c>
      <c r="Z1043" s="1" t="s">
        <v>2744</v>
      </c>
      <c r="AA1043" s="1" t="s">
        <v>2744</v>
      </c>
      <c r="AB1043" s="1" t="s">
        <v>2744</v>
      </c>
      <c r="AC1043" s="1" t="s">
        <v>2744</v>
      </c>
      <c r="AD1043" s="1" t="s">
        <v>2744</v>
      </c>
      <c r="AE1043" s="1" t="s">
        <v>2744</v>
      </c>
      <c r="AF1043" s="1" t="s">
        <v>2744</v>
      </c>
      <c r="AG1043" s="1" t="s">
        <v>2744</v>
      </c>
      <c r="AH1043" s="1" t="s">
        <v>2744</v>
      </c>
      <c r="AI1043" s="1" t="s">
        <v>2744</v>
      </c>
      <c r="AJ1043" s="1" t="s">
        <v>2744</v>
      </c>
      <c r="AK1043" s="1" t="s">
        <v>2744</v>
      </c>
      <c r="AL1043" s="1" t="s">
        <v>2744</v>
      </c>
      <c r="AM1043" s="1" t="s">
        <v>2744</v>
      </c>
      <c r="AN1043" s="1" t="s">
        <v>2744</v>
      </c>
    </row>
    <row r="1044" spans="2:40" x14ac:dyDescent="0.3">
      <c r="B1044" s="18" t="s">
        <v>3300</v>
      </c>
      <c r="C1044" s="25" t="s">
        <v>3897</v>
      </c>
      <c r="D1044" s="15" t="s">
        <v>2</v>
      </c>
      <c r="E1044" s="37" t="s">
        <v>2</v>
      </c>
      <c r="F1044" s="20" t="s">
        <v>2</v>
      </c>
      <c r="G1044" s="40" t="s">
        <v>2</v>
      </c>
      <c r="H1044" s="32" t="s">
        <v>2</v>
      </c>
      <c r="I1044" s="33" t="s">
        <v>2</v>
      </c>
      <c r="J1044" s="38" t="s">
        <v>2</v>
      </c>
      <c r="K1044" s="4"/>
      <c r="L1044" s="41"/>
      <c r="M1044" s="4"/>
      <c r="N1044" s="4"/>
      <c r="O1044" s="4"/>
      <c r="P1044" s="4"/>
      <c r="Q1044" s="4"/>
      <c r="R1044" s="4"/>
      <c r="S1044" s="4"/>
      <c r="T1044" s="23"/>
      <c r="U1044" s="23"/>
      <c r="V1044" s="5" t="s">
        <v>2</v>
      </c>
      <c r="W1044" s="4"/>
      <c r="X1044" s="4"/>
      <c r="Y1044" s="6"/>
      <c r="Z1044" s="6"/>
      <c r="AA1044" s="2"/>
      <c r="AB1044" s="31" t="s">
        <v>2</v>
      </c>
      <c r="AC1044" s="5" t="s">
        <v>2</v>
      </c>
      <c r="AD1044" s="43" t="s">
        <v>2</v>
      </c>
      <c r="AE1044" s="6"/>
      <c r="AF1044" s="23"/>
      <c r="AG1044" s="6"/>
      <c r="AH1044" s="5" t="s">
        <v>2</v>
      </c>
      <c r="AI1044" s="5" t="s">
        <v>2</v>
      </c>
      <c r="AJ1044" s="5" t="s">
        <v>2</v>
      </c>
      <c r="AK1044" s="21" t="s">
        <v>2</v>
      </c>
      <c r="AL1044" s="39" t="s">
        <v>2</v>
      </c>
      <c r="AM1044" s="26" t="s">
        <v>2</v>
      </c>
      <c r="AN1044" s="34" t="s">
        <v>2</v>
      </c>
    </row>
    <row r="1045" spans="2:40" x14ac:dyDescent="0.3">
      <c r="B1045" s="7" t="s">
        <v>2744</v>
      </c>
      <c r="C1045" s="1" t="s">
        <v>2744</v>
      </c>
      <c r="D1045" s="8" t="s">
        <v>2744</v>
      </c>
      <c r="E1045" s="1" t="s">
        <v>2744</v>
      </c>
      <c r="F1045" s="1" t="s">
        <v>2744</v>
      </c>
      <c r="G1045" s="1" t="s">
        <v>2744</v>
      </c>
      <c r="H1045" s="1" t="s">
        <v>2744</v>
      </c>
      <c r="I1045" s="1" t="s">
        <v>2744</v>
      </c>
      <c r="J1045" s="1" t="s">
        <v>2744</v>
      </c>
      <c r="K1045" s="1" t="s">
        <v>2744</v>
      </c>
      <c r="L1045" s="1" t="s">
        <v>2744</v>
      </c>
      <c r="M1045" s="1" t="s">
        <v>2744</v>
      </c>
      <c r="N1045" s="1" t="s">
        <v>2744</v>
      </c>
      <c r="O1045" s="1" t="s">
        <v>2744</v>
      </c>
      <c r="P1045" s="1" t="s">
        <v>2744</v>
      </c>
      <c r="Q1045" s="1" t="s">
        <v>2744</v>
      </c>
      <c r="R1045" s="1" t="s">
        <v>2744</v>
      </c>
      <c r="S1045" s="1" t="s">
        <v>2744</v>
      </c>
      <c r="T1045" s="1" t="s">
        <v>2744</v>
      </c>
      <c r="U1045" s="1" t="s">
        <v>2744</v>
      </c>
      <c r="V1045" s="1" t="s">
        <v>2744</v>
      </c>
      <c r="W1045" s="1" t="s">
        <v>2744</v>
      </c>
      <c r="X1045" s="1" t="s">
        <v>2744</v>
      </c>
      <c r="Y1045" s="1" t="s">
        <v>2744</v>
      </c>
      <c r="Z1045" s="1" t="s">
        <v>2744</v>
      </c>
      <c r="AA1045" s="1" t="s">
        <v>2744</v>
      </c>
      <c r="AB1045" s="1" t="s">
        <v>2744</v>
      </c>
      <c r="AC1045" s="1" t="s">
        <v>2744</v>
      </c>
      <c r="AD1045" s="1" t="s">
        <v>2744</v>
      </c>
      <c r="AE1045" s="1" t="s">
        <v>2744</v>
      </c>
      <c r="AF1045" s="1" t="s">
        <v>2744</v>
      </c>
      <c r="AG1045" s="1" t="s">
        <v>2744</v>
      </c>
      <c r="AH1045" s="1" t="s">
        <v>2744</v>
      </c>
      <c r="AI1045" s="1" t="s">
        <v>2744</v>
      </c>
      <c r="AJ1045" s="1" t="s">
        <v>2744</v>
      </c>
      <c r="AK1045" s="1" t="s">
        <v>2744</v>
      </c>
      <c r="AL1045" s="1" t="s">
        <v>2744</v>
      </c>
      <c r="AM1045" s="1" t="s">
        <v>2744</v>
      </c>
      <c r="AN1045" s="1" t="s">
        <v>2744</v>
      </c>
    </row>
    <row r="1046" spans="2:40" ht="56" x14ac:dyDescent="0.3">
      <c r="B1046" s="19" t="s">
        <v>4109</v>
      </c>
      <c r="C1046" s="17" t="s">
        <v>4110</v>
      </c>
      <c r="D1046" s="16"/>
      <c r="E1046" s="2"/>
      <c r="F1046" s="2"/>
      <c r="G1046" s="2"/>
      <c r="H1046" s="2"/>
      <c r="I1046" s="2"/>
      <c r="J1046" s="2"/>
      <c r="K1046" s="3">
        <f>SUM(GMIC_22A_SCDPT1!SCDPT1_124BEGINNG_7:GMIC_22A_SCDPT1!SCDPT1_124ENDINGG_7)</f>
        <v>0</v>
      </c>
      <c r="L1046" s="2"/>
      <c r="M1046" s="3">
        <f>SUM(GMIC_22A_SCDPT1!SCDPT1_124BEGINNG_9:GMIC_22A_SCDPT1!SCDPT1_124ENDINGG_9)</f>
        <v>0</v>
      </c>
      <c r="N1046" s="3">
        <f>SUM(GMIC_22A_SCDPT1!SCDPT1_124BEGINNG_10:GMIC_22A_SCDPT1!SCDPT1_124ENDINGG_10)</f>
        <v>0</v>
      </c>
      <c r="O1046" s="3">
        <f>SUM(GMIC_22A_SCDPT1!SCDPT1_124BEGINNG_11:GMIC_22A_SCDPT1!SCDPT1_124ENDINGG_11)</f>
        <v>0</v>
      </c>
      <c r="P1046" s="3">
        <f>SUM(GMIC_22A_SCDPT1!SCDPT1_124BEGINNG_12:GMIC_22A_SCDPT1!SCDPT1_124ENDINGG_12)</f>
        <v>0</v>
      </c>
      <c r="Q1046" s="3">
        <f>SUM(GMIC_22A_SCDPT1!SCDPT1_124BEGINNG_13:GMIC_22A_SCDPT1!SCDPT1_124ENDINGG_13)</f>
        <v>0</v>
      </c>
      <c r="R1046" s="3">
        <f>SUM(GMIC_22A_SCDPT1!SCDPT1_124BEGINNG_14:GMIC_22A_SCDPT1!SCDPT1_124ENDINGG_14)</f>
        <v>0</v>
      </c>
      <c r="S1046" s="3">
        <f>SUM(GMIC_22A_SCDPT1!SCDPT1_124BEGINNG_15:GMIC_22A_SCDPT1!SCDPT1_124ENDINGG_15)</f>
        <v>0</v>
      </c>
      <c r="T1046" s="2"/>
      <c r="U1046" s="2"/>
      <c r="V1046" s="2"/>
      <c r="W1046" s="3">
        <f>SUM(GMIC_22A_SCDPT1!SCDPT1_124BEGINNG_19:GMIC_22A_SCDPT1!SCDPT1_124ENDINGG_19)</f>
        <v>0</v>
      </c>
      <c r="X1046" s="3">
        <f>SUM(GMIC_22A_SCDPT1!SCDPT1_124BEGINNG_20:GMIC_22A_SCDPT1!SCDPT1_124ENDINGG_20)</f>
        <v>0</v>
      </c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</row>
    <row r="1047" spans="2:40" x14ac:dyDescent="0.3">
      <c r="B1047" s="19" t="s">
        <v>3301</v>
      </c>
      <c r="C1047" s="17" t="s">
        <v>3833</v>
      </c>
      <c r="D1047" s="16"/>
      <c r="E1047" s="2"/>
      <c r="F1047" s="2"/>
      <c r="G1047" s="2"/>
      <c r="H1047" s="2"/>
      <c r="I1047" s="2"/>
      <c r="J1047" s="2"/>
      <c r="K1047" s="3">
        <f>GMIC_22A_SCDPT1!SCDPT1_1219999999_7+GMIC_22A_SCDPT1!SCDPT1_1229999999_7+GMIC_22A_SCDPT1!SCDPT1_1239999999_7+GMIC_22A_SCDPT1!SCDPT1_1249999999_7</f>
        <v>0</v>
      </c>
      <c r="L1047" s="2"/>
      <c r="M1047" s="3">
        <f>GMIC_22A_SCDPT1!SCDPT1_1219999999_9+GMIC_22A_SCDPT1!SCDPT1_1229999999_9+GMIC_22A_SCDPT1!SCDPT1_1239999999_9+GMIC_22A_SCDPT1!SCDPT1_1249999999_9</f>
        <v>0</v>
      </c>
      <c r="N1047" s="3">
        <f>GMIC_22A_SCDPT1!SCDPT1_1219999999_10+GMIC_22A_SCDPT1!SCDPT1_1229999999_10+GMIC_22A_SCDPT1!SCDPT1_1239999999_10+GMIC_22A_SCDPT1!SCDPT1_1249999999_10</f>
        <v>0</v>
      </c>
      <c r="O1047" s="3">
        <f>GMIC_22A_SCDPT1!SCDPT1_1219999999_11+GMIC_22A_SCDPT1!SCDPT1_1229999999_11+GMIC_22A_SCDPT1!SCDPT1_1239999999_11+GMIC_22A_SCDPT1!SCDPT1_1249999999_11</f>
        <v>0</v>
      </c>
      <c r="P1047" s="3">
        <f>GMIC_22A_SCDPT1!SCDPT1_1219999999_12+GMIC_22A_SCDPT1!SCDPT1_1229999999_12+GMIC_22A_SCDPT1!SCDPT1_1239999999_12+GMIC_22A_SCDPT1!SCDPT1_1249999999_12</f>
        <v>0</v>
      </c>
      <c r="Q1047" s="3">
        <f>GMIC_22A_SCDPT1!SCDPT1_1219999999_13+GMIC_22A_SCDPT1!SCDPT1_1229999999_13+GMIC_22A_SCDPT1!SCDPT1_1239999999_13+GMIC_22A_SCDPT1!SCDPT1_1249999999_13</f>
        <v>0</v>
      </c>
      <c r="R1047" s="3">
        <f>GMIC_22A_SCDPT1!SCDPT1_1219999999_14+GMIC_22A_SCDPT1!SCDPT1_1229999999_14+GMIC_22A_SCDPT1!SCDPT1_1239999999_14+GMIC_22A_SCDPT1!SCDPT1_1249999999_14</f>
        <v>0</v>
      </c>
      <c r="S1047" s="3">
        <f>GMIC_22A_SCDPT1!SCDPT1_1219999999_15+GMIC_22A_SCDPT1!SCDPT1_1229999999_15+GMIC_22A_SCDPT1!SCDPT1_1239999999_15+GMIC_22A_SCDPT1!SCDPT1_1249999999_15</f>
        <v>0</v>
      </c>
      <c r="T1047" s="2"/>
      <c r="U1047" s="2"/>
      <c r="V1047" s="2"/>
      <c r="W1047" s="3">
        <f>GMIC_22A_SCDPT1!SCDPT1_1219999999_19+GMIC_22A_SCDPT1!SCDPT1_1229999999_19+GMIC_22A_SCDPT1!SCDPT1_1239999999_19+GMIC_22A_SCDPT1!SCDPT1_1249999999_19</f>
        <v>0</v>
      </c>
      <c r="X1047" s="3">
        <f>GMIC_22A_SCDPT1!SCDPT1_1219999999_20+GMIC_22A_SCDPT1!SCDPT1_1229999999_20+GMIC_22A_SCDPT1!SCDPT1_1239999999_20+GMIC_22A_SCDPT1!SCDPT1_1249999999_20</f>
        <v>0</v>
      </c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</row>
    <row r="1048" spans="2:40" x14ac:dyDescent="0.3">
      <c r="B1048" s="7" t="s">
        <v>2744</v>
      </c>
      <c r="C1048" s="1" t="s">
        <v>2744</v>
      </c>
      <c r="D1048" s="8" t="s">
        <v>2744</v>
      </c>
      <c r="E1048" s="1" t="s">
        <v>2744</v>
      </c>
      <c r="F1048" s="1" t="s">
        <v>2744</v>
      </c>
      <c r="G1048" s="1" t="s">
        <v>2744</v>
      </c>
      <c r="H1048" s="1" t="s">
        <v>2744</v>
      </c>
      <c r="I1048" s="1" t="s">
        <v>2744</v>
      </c>
      <c r="J1048" s="1" t="s">
        <v>2744</v>
      </c>
      <c r="K1048" s="1" t="s">
        <v>2744</v>
      </c>
      <c r="L1048" s="1" t="s">
        <v>2744</v>
      </c>
      <c r="M1048" s="1" t="s">
        <v>2744</v>
      </c>
      <c r="N1048" s="1" t="s">
        <v>2744</v>
      </c>
      <c r="O1048" s="1" t="s">
        <v>2744</v>
      </c>
      <c r="P1048" s="1" t="s">
        <v>2744</v>
      </c>
      <c r="Q1048" s="1" t="s">
        <v>2744</v>
      </c>
      <c r="R1048" s="1" t="s">
        <v>2744</v>
      </c>
      <c r="S1048" s="1" t="s">
        <v>2744</v>
      </c>
      <c r="T1048" s="1" t="s">
        <v>2744</v>
      </c>
      <c r="U1048" s="1" t="s">
        <v>2744</v>
      </c>
      <c r="V1048" s="1" t="s">
        <v>2744</v>
      </c>
      <c r="W1048" s="1" t="s">
        <v>2744</v>
      </c>
      <c r="X1048" s="1" t="s">
        <v>2744</v>
      </c>
      <c r="Y1048" s="1" t="s">
        <v>2744</v>
      </c>
      <c r="Z1048" s="1" t="s">
        <v>2744</v>
      </c>
      <c r="AA1048" s="1" t="s">
        <v>2744</v>
      </c>
      <c r="AB1048" s="1" t="s">
        <v>2744</v>
      </c>
      <c r="AC1048" s="1" t="s">
        <v>2744</v>
      </c>
      <c r="AD1048" s="1" t="s">
        <v>2744</v>
      </c>
      <c r="AE1048" s="1" t="s">
        <v>2744</v>
      </c>
      <c r="AF1048" s="1" t="s">
        <v>2744</v>
      </c>
      <c r="AG1048" s="1" t="s">
        <v>2744</v>
      </c>
      <c r="AH1048" s="1" t="s">
        <v>2744</v>
      </c>
      <c r="AI1048" s="1" t="s">
        <v>2744</v>
      </c>
      <c r="AJ1048" s="1" t="s">
        <v>2744</v>
      </c>
      <c r="AK1048" s="1" t="s">
        <v>2744</v>
      </c>
      <c r="AL1048" s="1" t="s">
        <v>2744</v>
      </c>
      <c r="AM1048" s="1" t="s">
        <v>2744</v>
      </c>
      <c r="AN1048" s="1" t="s">
        <v>2744</v>
      </c>
    </row>
    <row r="1049" spans="2:40" x14ac:dyDescent="0.3">
      <c r="B1049" s="18" t="s">
        <v>1836</v>
      </c>
      <c r="C1049" s="25" t="s">
        <v>3897</v>
      </c>
      <c r="D1049" s="15" t="s">
        <v>2</v>
      </c>
      <c r="E1049" s="37" t="s">
        <v>2</v>
      </c>
      <c r="F1049" s="20" t="s">
        <v>2</v>
      </c>
      <c r="G1049" s="40" t="s">
        <v>2</v>
      </c>
      <c r="H1049" s="32" t="s">
        <v>2</v>
      </c>
      <c r="I1049" s="33" t="s">
        <v>2</v>
      </c>
      <c r="J1049" s="38" t="s">
        <v>2</v>
      </c>
      <c r="K1049" s="4"/>
      <c r="L1049" s="41"/>
      <c r="M1049" s="4"/>
      <c r="N1049" s="4"/>
      <c r="O1049" s="4"/>
      <c r="P1049" s="4"/>
      <c r="Q1049" s="4"/>
      <c r="R1049" s="4"/>
      <c r="S1049" s="4"/>
      <c r="T1049" s="23"/>
      <c r="U1049" s="23"/>
      <c r="V1049" s="5" t="s">
        <v>2</v>
      </c>
      <c r="W1049" s="4"/>
      <c r="X1049" s="4"/>
      <c r="Y1049" s="6"/>
      <c r="Z1049" s="6"/>
      <c r="AA1049" s="2"/>
      <c r="AB1049" s="31" t="s">
        <v>2</v>
      </c>
      <c r="AC1049" s="5" t="s">
        <v>2</v>
      </c>
      <c r="AD1049" s="2"/>
      <c r="AE1049" s="6"/>
      <c r="AF1049" s="23"/>
      <c r="AG1049" s="6"/>
      <c r="AH1049" s="5" t="s">
        <v>2</v>
      </c>
      <c r="AI1049" s="5" t="s">
        <v>2</v>
      </c>
      <c r="AJ1049" s="5" t="s">
        <v>2</v>
      </c>
      <c r="AK1049" s="21" t="s">
        <v>2</v>
      </c>
      <c r="AL1049" s="39" t="s">
        <v>2</v>
      </c>
      <c r="AM1049" s="26" t="s">
        <v>2</v>
      </c>
      <c r="AN1049" s="34" t="s">
        <v>2</v>
      </c>
    </row>
    <row r="1050" spans="2:40" x14ac:dyDescent="0.3">
      <c r="B1050" s="7" t="s">
        <v>2744</v>
      </c>
      <c r="C1050" s="1" t="s">
        <v>2744</v>
      </c>
      <c r="D1050" s="8" t="s">
        <v>2744</v>
      </c>
      <c r="E1050" s="1" t="s">
        <v>2744</v>
      </c>
      <c r="F1050" s="1" t="s">
        <v>2744</v>
      </c>
      <c r="G1050" s="1" t="s">
        <v>2744</v>
      </c>
      <c r="H1050" s="1" t="s">
        <v>2744</v>
      </c>
      <c r="I1050" s="1" t="s">
        <v>2744</v>
      </c>
      <c r="J1050" s="1" t="s">
        <v>2744</v>
      </c>
      <c r="K1050" s="1" t="s">
        <v>2744</v>
      </c>
      <c r="L1050" s="1" t="s">
        <v>2744</v>
      </c>
      <c r="M1050" s="1" t="s">
        <v>2744</v>
      </c>
      <c r="N1050" s="1" t="s">
        <v>2744</v>
      </c>
      <c r="O1050" s="1" t="s">
        <v>2744</v>
      </c>
      <c r="P1050" s="1" t="s">
        <v>2744</v>
      </c>
      <c r="Q1050" s="1" t="s">
        <v>2744</v>
      </c>
      <c r="R1050" s="1" t="s">
        <v>2744</v>
      </c>
      <c r="S1050" s="1" t="s">
        <v>2744</v>
      </c>
      <c r="T1050" s="1" t="s">
        <v>2744</v>
      </c>
      <c r="U1050" s="1" t="s">
        <v>2744</v>
      </c>
      <c r="V1050" s="1" t="s">
        <v>2744</v>
      </c>
      <c r="W1050" s="1" t="s">
        <v>2744</v>
      </c>
      <c r="X1050" s="1" t="s">
        <v>2744</v>
      </c>
      <c r="Y1050" s="1" t="s">
        <v>2744</v>
      </c>
      <c r="Z1050" s="1" t="s">
        <v>2744</v>
      </c>
      <c r="AA1050" s="1" t="s">
        <v>2744</v>
      </c>
      <c r="AB1050" s="1" t="s">
        <v>2744</v>
      </c>
      <c r="AC1050" s="1" t="s">
        <v>2744</v>
      </c>
      <c r="AD1050" s="1" t="s">
        <v>2744</v>
      </c>
      <c r="AE1050" s="1" t="s">
        <v>2744</v>
      </c>
      <c r="AF1050" s="1" t="s">
        <v>2744</v>
      </c>
      <c r="AG1050" s="1" t="s">
        <v>2744</v>
      </c>
      <c r="AH1050" s="1" t="s">
        <v>2744</v>
      </c>
      <c r="AI1050" s="1" t="s">
        <v>2744</v>
      </c>
      <c r="AJ1050" s="1" t="s">
        <v>2744</v>
      </c>
      <c r="AK1050" s="1" t="s">
        <v>2744</v>
      </c>
      <c r="AL1050" s="1" t="s">
        <v>2744</v>
      </c>
      <c r="AM1050" s="1" t="s">
        <v>2744</v>
      </c>
      <c r="AN1050" s="1" t="s">
        <v>2744</v>
      </c>
    </row>
    <row r="1051" spans="2:40" ht="42" x14ac:dyDescent="0.3">
      <c r="B1051" s="19" t="s">
        <v>2686</v>
      </c>
      <c r="C1051" s="17" t="s">
        <v>2166</v>
      </c>
      <c r="D1051" s="16"/>
      <c r="E1051" s="2"/>
      <c r="F1051" s="2"/>
      <c r="G1051" s="2"/>
      <c r="H1051" s="2"/>
      <c r="I1051" s="2"/>
      <c r="J1051" s="2"/>
      <c r="K1051" s="3">
        <f>SUM(GMIC_22A_SCDPT1!SCDPT1_141BEGINNG_7:GMIC_22A_SCDPT1!SCDPT1_141ENDINGG_7)</f>
        <v>0</v>
      </c>
      <c r="L1051" s="2"/>
      <c r="M1051" s="3">
        <f>SUM(GMIC_22A_SCDPT1!SCDPT1_141BEGINNG_9:GMIC_22A_SCDPT1!SCDPT1_141ENDINGG_9)</f>
        <v>0</v>
      </c>
      <c r="N1051" s="3">
        <f>SUM(GMIC_22A_SCDPT1!SCDPT1_141BEGINNG_10:GMIC_22A_SCDPT1!SCDPT1_141ENDINGG_10)</f>
        <v>0</v>
      </c>
      <c r="O1051" s="3">
        <f>SUM(GMIC_22A_SCDPT1!SCDPT1_141BEGINNG_11:GMIC_22A_SCDPT1!SCDPT1_141ENDINGG_11)</f>
        <v>0</v>
      </c>
      <c r="P1051" s="3">
        <f>SUM(GMIC_22A_SCDPT1!SCDPT1_141BEGINNG_12:GMIC_22A_SCDPT1!SCDPT1_141ENDINGG_12)</f>
        <v>0</v>
      </c>
      <c r="Q1051" s="3">
        <f>SUM(GMIC_22A_SCDPT1!SCDPT1_141BEGINNG_13:GMIC_22A_SCDPT1!SCDPT1_141ENDINGG_13)</f>
        <v>0</v>
      </c>
      <c r="R1051" s="3">
        <f>SUM(GMIC_22A_SCDPT1!SCDPT1_141BEGINNG_14:GMIC_22A_SCDPT1!SCDPT1_141ENDINGG_14)</f>
        <v>0</v>
      </c>
      <c r="S1051" s="3">
        <f>SUM(GMIC_22A_SCDPT1!SCDPT1_141BEGINNG_15:GMIC_22A_SCDPT1!SCDPT1_141ENDINGG_15)</f>
        <v>0</v>
      </c>
      <c r="T1051" s="2"/>
      <c r="U1051" s="2"/>
      <c r="V1051" s="2"/>
      <c r="W1051" s="3">
        <f>SUM(GMIC_22A_SCDPT1!SCDPT1_141BEGINNG_19:GMIC_22A_SCDPT1!SCDPT1_141ENDINGG_19)</f>
        <v>0</v>
      </c>
      <c r="X1051" s="3">
        <f>SUM(GMIC_22A_SCDPT1!SCDPT1_141BEGINNG_20:GMIC_22A_SCDPT1!SCDPT1_141ENDINGG_20)</f>
        <v>0</v>
      </c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</row>
    <row r="1052" spans="2:40" x14ac:dyDescent="0.3">
      <c r="B1052" s="7" t="s">
        <v>2744</v>
      </c>
      <c r="C1052" s="1" t="s">
        <v>2744</v>
      </c>
      <c r="D1052" s="8" t="s">
        <v>2744</v>
      </c>
      <c r="E1052" s="1" t="s">
        <v>2744</v>
      </c>
      <c r="F1052" s="1" t="s">
        <v>2744</v>
      </c>
      <c r="G1052" s="1" t="s">
        <v>2744</v>
      </c>
      <c r="H1052" s="1" t="s">
        <v>2744</v>
      </c>
      <c r="I1052" s="1" t="s">
        <v>2744</v>
      </c>
      <c r="J1052" s="1" t="s">
        <v>2744</v>
      </c>
      <c r="K1052" s="1" t="s">
        <v>2744</v>
      </c>
      <c r="L1052" s="1" t="s">
        <v>2744</v>
      </c>
      <c r="M1052" s="1" t="s">
        <v>2744</v>
      </c>
      <c r="N1052" s="1" t="s">
        <v>2744</v>
      </c>
      <c r="O1052" s="1" t="s">
        <v>2744</v>
      </c>
      <c r="P1052" s="1" t="s">
        <v>2744</v>
      </c>
      <c r="Q1052" s="1" t="s">
        <v>2744</v>
      </c>
      <c r="R1052" s="1" t="s">
        <v>2744</v>
      </c>
      <c r="S1052" s="1" t="s">
        <v>2744</v>
      </c>
      <c r="T1052" s="1" t="s">
        <v>2744</v>
      </c>
      <c r="U1052" s="1" t="s">
        <v>2744</v>
      </c>
      <c r="V1052" s="1" t="s">
        <v>2744</v>
      </c>
      <c r="W1052" s="1" t="s">
        <v>2744</v>
      </c>
      <c r="X1052" s="1" t="s">
        <v>2744</v>
      </c>
      <c r="Y1052" s="1" t="s">
        <v>2744</v>
      </c>
      <c r="Z1052" s="1" t="s">
        <v>2744</v>
      </c>
      <c r="AA1052" s="1" t="s">
        <v>2744</v>
      </c>
      <c r="AB1052" s="1" t="s">
        <v>2744</v>
      </c>
      <c r="AC1052" s="1" t="s">
        <v>2744</v>
      </c>
      <c r="AD1052" s="1" t="s">
        <v>2744</v>
      </c>
      <c r="AE1052" s="1" t="s">
        <v>2744</v>
      </c>
      <c r="AF1052" s="1" t="s">
        <v>2744</v>
      </c>
      <c r="AG1052" s="1" t="s">
        <v>2744</v>
      </c>
      <c r="AH1052" s="1" t="s">
        <v>2744</v>
      </c>
      <c r="AI1052" s="1" t="s">
        <v>2744</v>
      </c>
      <c r="AJ1052" s="1" t="s">
        <v>2744</v>
      </c>
      <c r="AK1052" s="1" t="s">
        <v>2744</v>
      </c>
      <c r="AL1052" s="1" t="s">
        <v>2744</v>
      </c>
      <c r="AM1052" s="1" t="s">
        <v>2744</v>
      </c>
      <c r="AN1052" s="1" t="s">
        <v>2744</v>
      </c>
    </row>
    <row r="1053" spans="2:40" x14ac:dyDescent="0.3">
      <c r="B1053" s="18" t="s">
        <v>1044</v>
      </c>
      <c r="C1053" s="25" t="s">
        <v>3897</v>
      </c>
      <c r="D1053" s="15" t="s">
        <v>2</v>
      </c>
      <c r="E1053" s="37" t="s">
        <v>2</v>
      </c>
      <c r="F1053" s="20" t="s">
        <v>2</v>
      </c>
      <c r="G1053" s="40" t="s">
        <v>2</v>
      </c>
      <c r="H1053" s="32" t="s">
        <v>2</v>
      </c>
      <c r="I1053" s="33" t="s">
        <v>2</v>
      </c>
      <c r="J1053" s="38" t="s">
        <v>2</v>
      </c>
      <c r="K1053" s="4"/>
      <c r="L1053" s="41"/>
      <c r="M1053" s="4"/>
      <c r="N1053" s="4"/>
      <c r="O1053" s="4"/>
      <c r="P1053" s="4"/>
      <c r="Q1053" s="4"/>
      <c r="R1053" s="4"/>
      <c r="S1053" s="4"/>
      <c r="T1053" s="23"/>
      <c r="U1053" s="23"/>
      <c r="V1053" s="5" t="s">
        <v>2</v>
      </c>
      <c r="W1053" s="4"/>
      <c r="X1053" s="4"/>
      <c r="Y1053" s="6"/>
      <c r="Z1053" s="6"/>
      <c r="AA1053" s="2"/>
      <c r="AB1053" s="31" t="s">
        <v>2</v>
      </c>
      <c r="AC1053" s="5" t="s">
        <v>2</v>
      </c>
      <c r="AD1053" s="43" t="s">
        <v>2</v>
      </c>
      <c r="AE1053" s="6"/>
      <c r="AF1053" s="23"/>
      <c r="AG1053" s="6"/>
      <c r="AH1053" s="5" t="s">
        <v>2</v>
      </c>
      <c r="AI1053" s="5" t="s">
        <v>2</v>
      </c>
      <c r="AJ1053" s="5" t="s">
        <v>2</v>
      </c>
      <c r="AK1053" s="21" t="s">
        <v>2</v>
      </c>
      <c r="AL1053" s="39" t="s">
        <v>2</v>
      </c>
      <c r="AM1053" s="26" t="s">
        <v>2</v>
      </c>
      <c r="AN1053" s="34" t="s">
        <v>2</v>
      </c>
    </row>
    <row r="1054" spans="2:40" x14ac:dyDescent="0.3">
      <c r="B1054" s="7" t="s">
        <v>2744</v>
      </c>
      <c r="C1054" s="1" t="s">
        <v>2744</v>
      </c>
      <c r="D1054" s="8" t="s">
        <v>2744</v>
      </c>
      <c r="E1054" s="1" t="s">
        <v>2744</v>
      </c>
      <c r="F1054" s="1" t="s">
        <v>2744</v>
      </c>
      <c r="G1054" s="1" t="s">
        <v>2744</v>
      </c>
      <c r="H1054" s="1" t="s">
        <v>2744</v>
      </c>
      <c r="I1054" s="1" t="s">
        <v>2744</v>
      </c>
      <c r="J1054" s="1" t="s">
        <v>2744</v>
      </c>
      <c r="K1054" s="1" t="s">
        <v>2744</v>
      </c>
      <c r="L1054" s="1" t="s">
        <v>2744</v>
      </c>
      <c r="M1054" s="1" t="s">
        <v>2744</v>
      </c>
      <c r="N1054" s="1" t="s">
        <v>2744</v>
      </c>
      <c r="O1054" s="1" t="s">
        <v>2744</v>
      </c>
      <c r="P1054" s="1" t="s">
        <v>2744</v>
      </c>
      <c r="Q1054" s="1" t="s">
        <v>2744</v>
      </c>
      <c r="R1054" s="1" t="s">
        <v>2744</v>
      </c>
      <c r="S1054" s="1" t="s">
        <v>2744</v>
      </c>
      <c r="T1054" s="1" t="s">
        <v>2744</v>
      </c>
      <c r="U1054" s="1" t="s">
        <v>2744</v>
      </c>
      <c r="V1054" s="1" t="s">
        <v>2744</v>
      </c>
      <c r="W1054" s="1" t="s">
        <v>2744</v>
      </c>
      <c r="X1054" s="1" t="s">
        <v>2744</v>
      </c>
      <c r="Y1054" s="1" t="s">
        <v>2744</v>
      </c>
      <c r="Z1054" s="1" t="s">
        <v>2744</v>
      </c>
      <c r="AA1054" s="1" t="s">
        <v>2744</v>
      </c>
      <c r="AB1054" s="1" t="s">
        <v>2744</v>
      </c>
      <c r="AC1054" s="1" t="s">
        <v>2744</v>
      </c>
      <c r="AD1054" s="1" t="s">
        <v>2744</v>
      </c>
      <c r="AE1054" s="1" t="s">
        <v>2744</v>
      </c>
      <c r="AF1054" s="1" t="s">
        <v>2744</v>
      </c>
      <c r="AG1054" s="1" t="s">
        <v>2744</v>
      </c>
      <c r="AH1054" s="1" t="s">
        <v>2744</v>
      </c>
      <c r="AI1054" s="1" t="s">
        <v>2744</v>
      </c>
      <c r="AJ1054" s="1" t="s">
        <v>2744</v>
      </c>
      <c r="AK1054" s="1" t="s">
        <v>2744</v>
      </c>
      <c r="AL1054" s="1" t="s">
        <v>2744</v>
      </c>
      <c r="AM1054" s="1" t="s">
        <v>2744</v>
      </c>
      <c r="AN1054" s="1" t="s">
        <v>2744</v>
      </c>
    </row>
    <row r="1055" spans="2:40" ht="56" x14ac:dyDescent="0.3">
      <c r="B1055" s="19" t="s">
        <v>1837</v>
      </c>
      <c r="C1055" s="17" t="s">
        <v>3593</v>
      </c>
      <c r="D1055" s="16"/>
      <c r="E1055" s="2"/>
      <c r="F1055" s="2"/>
      <c r="G1055" s="2"/>
      <c r="H1055" s="2"/>
      <c r="I1055" s="2"/>
      <c r="J1055" s="2"/>
      <c r="K1055" s="3">
        <f>SUM(GMIC_22A_SCDPT1!SCDPT1_142BEGINNG_7:GMIC_22A_SCDPT1!SCDPT1_142ENDINGG_7)</f>
        <v>0</v>
      </c>
      <c r="L1055" s="2"/>
      <c r="M1055" s="3">
        <f>SUM(GMIC_22A_SCDPT1!SCDPT1_142BEGINNG_9:GMIC_22A_SCDPT1!SCDPT1_142ENDINGG_9)</f>
        <v>0</v>
      </c>
      <c r="N1055" s="3">
        <f>SUM(GMIC_22A_SCDPT1!SCDPT1_142BEGINNG_10:GMIC_22A_SCDPT1!SCDPT1_142ENDINGG_10)</f>
        <v>0</v>
      </c>
      <c r="O1055" s="3">
        <f>SUM(GMIC_22A_SCDPT1!SCDPT1_142BEGINNG_11:GMIC_22A_SCDPT1!SCDPT1_142ENDINGG_11)</f>
        <v>0</v>
      </c>
      <c r="P1055" s="3">
        <f>SUM(GMIC_22A_SCDPT1!SCDPT1_142BEGINNG_12:GMIC_22A_SCDPT1!SCDPT1_142ENDINGG_12)</f>
        <v>0</v>
      </c>
      <c r="Q1055" s="3">
        <f>SUM(GMIC_22A_SCDPT1!SCDPT1_142BEGINNG_13:GMIC_22A_SCDPT1!SCDPT1_142ENDINGG_13)</f>
        <v>0</v>
      </c>
      <c r="R1055" s="3">
        <f>SUM(GMIC_22A_SCDPT1!SCDPT1_142BEGINNG_14:GMIC_22A_SCDPT1!SCDPT1_142ENDINGG_14)</f>
        <v>0</v>
      </c>
      <c r="S1055" s="3">
        <f>SUM(GMIC_22A_SCDPT1!SCDPT1_142BEGINNG_15:GMIC_22A_SCDPT1!SCDPT1_142ENDINGG_15)</f>
        <v>0</v>
      </c>
      <c r="T1055" s="2"/>
      <c r="U1055" s="2"/>
      <c r="V1055" s="2"/>
      <c r="W1055" s="3">
        <f>SUM(GMIC_22A_SCDPT1!SCDPT1_142BEGINNG_19:GMIC_22A_SCDPT1!SCDPT1_142ENDINGG_19)</f>
        <v>0</v>
      </c>
      <c r="X1055" s="3">
        <f>SUM(GMIC_22A_SCDPT1!SCDPT1_142BEGINNG_20:GMIC_22A_SCDPT1!SCDPT1_142ENDINGG_20)</f>
        <v>0</v>
      </c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</row>
    <row r="1056" spans="2:40" x14ac:dyDescent="0.3">
      <c r="B1056" s="7" t="s">
        <v>2744</v>
      </c>
      <c r="C1056" s="1" t="s">
        <v>2744</v>
      </c>
      <c r="D1056" s="8" t="s">
        <v>2744</v>
      </c>
      <c r="E1056" s="1" t="s">
        <v>2744</v>
      </c>
      <c r="F1056" s="1" t="s">
        <v>2744</v>
      </c>
      <c r="G1056" s="1" t="s">
        <v>2744</v>
      </c>
      <c r="H1056" s="1" t="s">
        <v>2744</v>
      </c>
      <c r="I1056" s="1" t="s">
        <v>2744</v>
      </c>
      <c r="J1056" s="1" t="s">
        <v>2744</v>
      </c>
      <c r="K1056" s="1" t="s">
        <v>2744</v>
      </c>
      <c r="L1056" s="1" t="s">
        <v>2744</v>
      </c>
      <c r="M1056" s="1" t="s">
        <v>2744</v>
      </c>
      <c r="N1056" s="1" t="s">
        <v>2744</v>
      </c>
      <c r="O1056" s="1" t="s">
        <v>2744</v>
      </c>
      <c r="P1056" s="1" t="s">
        <v>2744</v>
      </c>
      <c r="Q1056" s="1" t="s">
        <v>2744</v>
      </c>
      <c r="R1056" s="1" t="s">
        <v>2744</v>
      </c>
      <c r="S1056" s="1" t="s">
        <v>2744</v>
      </c>
      <c r="T1056" s="1" t="s">
        <v>2744</v>
      </c>
      <c r="U1056" s="1" t="s">
        <v>2744</v>
      </c>
      <c r="V1056" s="1" t="s">
        <v>2744</v>
      </c>
      <c r="W1056" s="1" t="s">
        <v>2744</v>
      </c>
      <c r="X1056" s="1" t="s">
        <v>2744</v>
      </c>
      <c r="Y1056" s="1" t="s">
        <v>2744</v>
      </c>
      <c r="Z1056" s="1" t="s">
        <v>2744</v>
      </c>
      <c r="AA1056" s="1" t="s">
        <v>2744</v>
      </c>
      <c r="AB1056" s="1" t="s">
        <v>2744</v>
      </c>
      <c r="AC1056" s="1" t="s">
        <v>2744</v>
      </c>
      <c r="AD1056" s="1" t="s">
        <v>2744</v>
      </c>
      <c r="AE1056" s="1" t="s">
        <v>2744</v>
      </c>
      <c r="AF1056" s="1" t="s">
        <v>2744</v>
      </c>
      <c r="AG1056" s="1" t="s">
        <v>2744</v>
      </c>
      <c r="AH1056" s="1" t="s">
        <v>2744</v>
      </c>
      <c r="AI1056" s="1" t="s">
        <v>2744</v>
      </c>
      <c r="AJ1056" s="1" t="s">
        <v>2744</v>
      </c>
      <c r="AK1056" s="1" t="s">
        <v>2744</v>
      </c>
      <c r="AL1056" s="1" t="s">
        <v>2744</v>
      </c>
      <c r="AM1056" s="1" t="s">
        <v>2744</v>
      </c>
      <c r="AN1056" s="1" t="s">
        <v>2744</v>
      </c>
    </row>
    <row r="1057" spans="2:40" x14ac:dyDescent="0.3">
      <c r="B1057" s="18" t="s">
        <v>190</v>
      </c>
      <c r="C1057" s="25" t="s">
        <v>3897</v>
      </c>
      <c r="D1057" s="15" t="s">
        <v>2</v>
      </c>
      <c r="E1057" s="37" t="s">
        <v>2</v>
      </c>
      <c r="F1057" s="20" t="s">
        <v>2</v>
      </c>
      <c r="G1057" s="40" t="s">
        <v>2</v>
      </c>
      <c r="H1057" s="32" t="s">
        <v>2</v>
      </c>
      <c r="I1057" s="33" t="s">
        <v>2</v>
      </c>
      <c r="J1057" s="38" t="s">
        <v>2</v>
      </c>
      <c r="K1057" s="4"/>
      <c r="L1057" s="41"/>
      <c r="M1057" s="4"/>
      <c r="N1057" s="4"/>
      <c r="O1057" s="4"/>
      <c r="P1057" s="4"/>
      <c r="Q1057" s="4"/>
      <c r="R1057" s="4"/>
      <c r="S1057" s="4"/>
      <c r="T1057" s="23"/>
      <c r="U1057" s="23"/>
      <c r="V1057" s="5" t="s">
        <v>2</v>
      </c>
      <c r="W1057" s="4"/>
      <c r="X1057" s="4"/>
      <c r="Y1057" s="6"/>
      <c r="Z1057" s="6"/>
      <c r="AA1057" s="2"/>
      <c r="AB1057" s="31" t="s">
        <v>2</v>
      </c>
      <c r="AC1057" s="5" t="s">
        <v>2</v>
      </c>
      <c r="AD1057" s="43" t="s">
        <v>2</v>
      </c>
      <c r="AE1057" s="6"/>
      <c r="AF1057" s="23"/>
      <c r="AG1057" s="6"/>
      <c r="AH1057" s="5" t="s">
        <v>2</v>
      </c>
      <c r="AI1057" s="5" t="s">
        <v>2</v>
      </c>
      <c r="AJ1057" s="5" t="s">
        <v>2</v>
      </c>
      <c r="AK1057" s="21" t="s">
        <v>2</v>
      </c>
      <c r="AL1057" s="39" t="s">
        <v>2</v>
      </c>
      <c r="AM1057" s="26" t="s">
        <v>2</v>
      </c>
      <c r="AN1057" s="34" t="s">
        <v>2</v>
      </c>
    </row>
    <row r="1058" spans="2:40" x14ac:dyDescent="0.3">
      <c r="B1058" s="7" t="s">
        <v>2744</v>
      </c>
      <c r="C1058" s="1" t="s">
        <v>2744</v>
      </c>
      <c r="D1058" s="8" t="s">
        <v>2744</v>
      </c>
      <c r="E1058" s="1" t="s">
        <v>2744</v>
      </c>
      <c r="F1058" s="1" t="s">
        <v>2744</v>
      </c>
      <c r="G1058" s="1" t="s">
        <v>2744</v>
      </c>
      <c r="H1058" s="1" t="s">
        <v>2744</v>
      </c>
      <c r="I1058" s="1" t="s">
        <v>2744</v>
      </c>
      <c r="J1058" s="1" t="s">
        <v>2744</v>
      </c>
      <c r="K1058" s="1" t="s">
        <v>2744</v>
      </c>
      <c r="L1058" s="1" t="s">
        <v>2744</v>
      </c>
      <c r="M1058" s="1" t="s">
        <v>2744</v>
      </c>
      <c r="N1058" s="1" t="s">
        <v>2744</v>
      </c>
      <c r="O1058" s="1" t="s">
        <v>2744</v>
      </c>
      <c r="P1058" s="1" t="s">
        <v>2744</v>
      </c>
      <c r="Q1058" s="1" t="s">
        <v>2744</v>
      </c>
      <c r="R1058" s="1" t="s">
        <v>2744</v>
      </c>
      <c r="S1058" s="1" t="s">
        <v>2744</v>
      </c>
      <c r="T1058" s="1" t="s">
        <v>2744</v>
      </c>
      <c r="U1058" s="1" t="s">
        <v>2744</v>
      </c>
      <c r="V1058" s="1" t="s">
        <v>2744</v>
      </c>
      <c r="W1058" s="1" t="s">
        <v>2744</v>
      </c>
      <c r="X1058" s="1" t="s">
        <v>2744</v>
      </c>
      <c r="Y1058" s="1" t="s">
        <v>2744</v>
      </c>
      <c r="Z1058" s="1" t="s">
        <v>2744</v>
      </c>
      <c r="AA1058" s="1" t="s">
        <v>2744</v>
      </c>
      <c r="AB1058" s="1" t="s">
        <v>2744</v>
      </c>
      <c r="AC1058" s="1" t="s">
        <v>2744</v>
      </c>
      <c r="AD1058" s="1" t="s">
        <v>2744</v>
      </c>
      <c r="AE1058" s="1" t="s">
        <v>2744</v>
      </c>
      <c r="AF1058" s="1" t="s">
        <v>2744</v>
      </c>
      <c r="AG1058" s="1" t="s">
        <v>2744</v>
      </c>
      <c r="AH1058" s="1" t="s">
        <v>2744</v>
      </c>
      <c r="AI1058" s="1" t="s">
        <v>2744</v>
      </c>
      <c r="AJ1058" s="1" t="s">
        <v>2744</v>
      </c>
      <c r="AK1058" s="1" t="s">
        <v>2744</v>
      </c>
      <c r="AL1058" s="1" t="s">
        <v>2744</v>
      </c>
      <c r="AM1058" s="1" t="s">
        <v>2744</v>
      </c>
      <c r="AN1058" s="1" t="s">
        <v>2744</v>
      </c>
    </row>
    <row r="1059" spans="2:40" ht="56" x14ac:dyDescent="0.3">
      <c r="B1059" s="19" t="s">
        <v>1045</v>
      </c>
      <c r="C1059" s="17" t="s">
        <v>3302</v>
      </c>
      <c r="D1059" s="16"/>
      <c r="E1059" s="2"/>
      <c r="F1059" s="2"/>
      <c r="G1059" s="2"/>
      <c r="H1059" s="2"/>
      <c r="I1059" s="2"/>
      <c r="J1059" s="2"/>
      <c r="K1059" s="3">
        <f>SUM(GMIC_22A_SCDPT1!SCDPT1_143BEGINNG_7:GMIC_22A_SCDPT1!SCDPT1_143ENDINGG_7)</f>
        <v>0</v>
      </c>
      <c r="L1059" s="2"/>
      <c r="M1059" s="3">
        <f>SUM(GMIC_22A_SCDPT1!SCDPT1_143BEGINNG_9:GMIC_22A_SCDPT1!SCDPT1_143ENDINGG_9)</f>
        <v>0</v>
      </c>
      <c r="N1059" s="3">
        <f>SUM(GMIC_22A_SCDPT1!SCDPT1_143BEGINNG_10:GMIC_22A_SCDPT1!SCDPT1_143ENDINGG_10)</f>
        <v>0</v>
      </c>
      <c r="O1059" s="3">
        <f>SUM(GMIC_22A_SCDPT1!SCDPT1_143BEGINNG_11:GMIC_22A_SCDPT1!SCDPT1_143ENDINGG_11)</f>
        <v>0</v>
      </c>
      <c r="P1059" s="3">
        <f>SUM(GMIC_22A_SCDPT1!SCDPT1_143BEGINNG_12:GMIC_22A_SCDPT1!SCDPT1_143ENDINGG_12)</f>
        <v>0</v>
      </c>
      <c r="Q1059" s="3">
        <f>SUM(GMIC_22A_SCDPT1!SCDPT1_143BEGINNG_13:GMIC_22A_SCDPT1!SCDPT1_143ENDINGG_13)</f>
        <v>0</v>
      </c>
      <c r="R1059" s="3">
        <f>SUM(GMIC_22A_SCDPT1!SCDPT1_143BEGINNG_14:GMIC_22A_SCDPT1!SCDPT1_143ENDINGG_14)</f>
        <v>0</v>
      </c>
      <c r="S1059" s="3">
        <f>SUM(GMIC_22A_SCDPT1!SCDPT1_143BEGINNG_15:GMIC_22A_SCDPT1!SCDPT1_143ENDINGG_15)</f>
        <v>0</v>
      </c>
      <c r="T1059" s="2"/>
      <c r="U1059" s="2"/>
      <c r="V1059" s="2"/>
      <c r="W1059" s="3">
        <f>SUM(GMIC_22A_SCDPT1!SCDPT1_143BEGINNG_19:GMIC_22A_SCDPT1!SCDPT1_143ENDINGG_19)</f>
        <v>0</v>
      </c>
      <c r="X1059" s="3">
        <f>SUM(GMIC_22A_SCDPT1!SCDPT1_143BEGINNG_20:GMIC_22A_SCDPT1!SCDPT1_143ENDINGG_20)</f>
        <v>0</v>
      </c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</row>
    <row r="1060" spans="2:40" x14ac:dyDescent="0.3">
      <c r="B1060" s="7" t="s">
        <v>2744</v>
      </c>
      <c r="C1060" s="1" t="s">
        <v>2744</v>
      </c>
      <c r="D1060" s="8" t="s">
        <v>2744</v>
      </c>
      <c r="E1060" s="1" t="s">
        <v>2744</v>
      </c>
      <c r="F1060" s="1" t="s">
        <v>2744</v>
      </c>
      <c r="G1060" s="1" t="s">
        <v>2744</v>
      </c>
      <c r="H1060" s="1" t="s">
        <v>2744</v>
      </c>
      <c r="I1060" s="1" t="s">
        <v>2744</v>
      </c>
      <c r="J1060" s="1" t="s">
        <v>2744</v>
      </c>
      <c r="K1060" s="1" t="s">
        <v>2744</v>
      </c>
      <c r="L1060" s="1" t="s">
        <v>2744</v>
      </c>
      <c r="M1060" s="1" t="s">
        <v>2744</v>
      </c>
      <c r="N1060" s="1" t="s">
        <v>2744</v>
      </c>
      <c r="O1060" s="1" t="s">
        <v>2744</v>
      </c>
      <c r="P1060" s="1" t="s">
        <v>2744</v>
      </c>
      <c r="Q1060" s="1" t="s">
        <v>2744</v>
      </c>
      <c r="R1060" s="1" t="s">
        <v>2744</v>
      </c>
      <c r="S1060" s="1" t="s">
        <v>2744</v>
      </c>
      <c r="T1060" s="1" t="s">
        <v>2744</v>
      </c>
      <c r="U1060" s="1" t="s">
        <v>2744</v>
      </c>
      <c r="V1060" s="1" t="s">
        <v>2744</v>
      </c>
      <c r="W1060" s="1" t="s">
        <v>2744</v>
      </c>
      <c r="X1060" s="1" t="s">
        <v>2744</v>
      </c>
      <c r="Y1060" s="1" t="s">
        <v>2744</v>
      </c>
      <c r="Z1060" s="1" t="s">
        <v>2744</v>
      </c>
      <c r="AA1060" s="1" t="s">
        <v>2744</v>
      </c>
      <c r="AB1060" s="1" t="s">
        <v>2744</v>
      </c>
      <c r="AC1060" s="1" t="s">
        <v>2744</v>
      </c>
      <c r="AD1060" s="1" t="s">
        <v>2744</v>
      </c>
      <c r="AE1060" s="1" t="s">
        <v>2744</v>
      </c>
      <c r="AF1060" s="1" t="s">
        <v>2744</v>
      </c>
      <c r="AG1060" s="1" t="s">
        <v>2744</v>
      </c>
      <c r="AH1060" s="1" t="s">
        <v>2744</v>
      </c>
      <c r="AI1060" s="1" t="s">
        <v>2744</v>
      </c>
      <c r="AJ1060" s="1" t="s">
        <v>2744</v>
      </c>
      <c r="AK1060" s="1" t="s">
        <v>2744</v>
      </c>
      <c r="AL1060" s="1" t="s">
        <v>2744</v>
      </c>
      <c r="AM1060" s="1" t="s">
        <v>2744</v>
      </c>
      <c r="AN1060" s="1" t="s">
        <v>2744</v>
      </c>
    </row>
    <row r="1061" spans="2:40" x14ac:dyDescent="0.3">
      <c r="B1061" s="18" t="s">
        <v>3834</v>
      </c>
      <c r="C1061" s="25" t="s">
        <v>3897</v>
      </c>
      <c r="D1061" s="15" t="s">
        <v>2</v>
      </c>
      <c r="E1061" s="37" t="s">
        <v>2</v>
      </c>
      <c r="F1061" s="20" t="s">
        <v>2</v>
      </c>
      <c r="G1061" s="40" t="s">
        <v>2</v>
      </c>
      <c r="H1061" s="32" t="s">
        <v>2</v>
      </c>
      <c r="I1061" s="33" t="s">
        <v>2</v>
      </c>
      <c r="J1061" s="38" t="s">
        <v>2</v>
      </c>
      <c r="K1061" s="4"/>
      <c r="L1061" s="41"/>
      <c r="M1061" s="4"/>
      <c r="N1061" s="4"/>
      <c r="O1061" s="4"/>
      <c r="P1061" s="4"/>
      <c r="Q1061" s="4"/>
      <c r="R1061" s="4"/>
      <c r="S1061" s="4"/>
      <c r="T1061" s="23"/>
      <c r="U1061" s="23"/>
      <c r="V1061" s="5" t="s">
        <v>2</v>
      </c>
      <c r="W1061" s="4"/>
      <c r="X1061" s="4"/>
      <c r="Y1061" s="6"/>
      <c r="Z1061" s="6"/>
      <c r="AA1061" s="2"/>
      <c r="AB1061" s="31" t="s">
        <v>2</v>
      </c>
      <c r="AC1061" s="5" t="s">
        <v>2</v>
      </c>
      <c r="AD1061" s="43" t="s">
        <v>2</v>
      </c>
      <c r="AE1061" s="6"/>
      <c r="AF1061" s="23"/>
      <c r="AG1061" s="6"/>
      <c r="AH1061" s="5" t="s">
        <v>2</v>
      </c>
      <c r="AI1061" s="5" t="s">
        <v>2</v>
      </c>
      <c r="AJ1061" s="5" t="s">
        <v>2</v>
      </c>
      <c r="AK1061" s="21" t="s">
        <v>2</v>
      </c>
      <c r="AL1061" s="39" t="s">
        <v>2</v>
      </c>
      <c r="AM1061" s="26" t="s">
        <v>2</v>
      </c>
      <c r="AN1061" s="34" t="s">
        <v>2</v>
      </c>
    </row>
    <row r="1062" spans="2:40" x14ac:dyDescent="0.3">
      <c r="B1062" s="7" t="s">
        <v>2744</v>
      </c>
      <c r="C1062" s="1" t="s">
        <v>2744</v>
      </c>
      <c r="D1062" s="8" t="s">
        <v>2744</v>
      </c>
      <c r="E1062" s="1" t="s">
        <v>2744</v>
      </c>
      <c r="F1062" s="1" t="s">
        <v>2744</v>
      </c>
      <c r="G1062" s="1" t="s">
        <v>2744</v>
      </c>
      <c r="H1062" s="1" t="s">
        <v>2744</v>
      </c>
      <c r="I1062" s="1" t="s">
        <v>2744</v>
      </c>
      <c r="J1062" s="1" t="s">
        <v>2744</v>
      </c>
      <c r="K1062" s="1" t="s">
        <v>2744</v>
      </c>
      <c r="L1062" s="1" t="s">
        <v>2744</v>
      </c>
      <c r="M1062" s="1" t="s">
        <v>2744</v>
      </c>
      <c r="N1062" s="1" t="s">
        <v>2744</v>
      </c>
      <c r="O1062" s="1" t="s">
        <v>2744</v>
      </c>
      <c r="P1062" s="1" t="s">
        <v>2744</v>
      </c>
      <c r="Q1062" s="1" t="s">
        <v>2744</v>
      </c>
      <c r="R1062" s="1" t="s">
        <v>2744</v>
      </c>
      <c r="S1062" s="1" t="s">
        <v>2744</v>
      </c>
      <c r="T1062" s="1" t="s">
        <v>2744</v>
      </c>
      <c r="U1062" s="1" t="s">
        <v>2744</v>
      </c>
      <c r="V1062" s="1" t="s">
        <v>2744</v>
      </c>
      <c r="W1062" s="1" t="s">
        <v>2744</v>
      </c>
      <c r="X1062" s="1" t="s">
        <v>2744</v>
      </c>
      <c r="Y1062" s="1" t="s">
        <v>2744</v>
      </c>
      <c r="Z1062" s="1" t="s">
        <v>2744</v>
      </c>
      <c r="AA1062" s="1" t="s">
        <v>2744</v>
      </c>
      <c r="AB1062" s="1" t="s">
        <v>2744</v>
      </c>
      <c r="AC1062" s="1" t="s">
        <v>2744</v>
      </c>
      <c r="AD1062" s="1" t="s">
        <v>2744</v>
      </c>
      <c r="AE1062" s="1" t="s">
        <v>2744</v>
      </c>
      <c r="AF1062" s="1" t="s">
        <v>2744</v>
      </c>
      <c r="AG1062" s="1" t="s">
        <v>2744</v>
      </c>
      <c r="AH1062" s="1" t="s">
        <v>2744</v>
      </c>
      <c r="AI1062" s="1" t="s">
        <v>2744</v>
      </c>
      <c r="AJ1062" s="1" t="s">
        <v>2744</v>
      </c>
      <c r="AK1062" s="1" t="s">
        <v>2744</v>
      </c>
      <c r="AL1062" s="1" t="s">
        <v>2744</v>
      </c>
      <c r="AM1062" s="1" t="s">
        <v>2744</v>
      </c>
      <c r="AN1062" s="1" t="s">
        <v>2744</v>
      </c>
    </row>
    <row r="1063" spans="2:40" ht="56" x14ac:dyDescent="0.3">
      <c r="B1063" s="19" t="s">
        <v>191</v>
      </c>
      <c r="C1063" s="17" t="s">
        <v>697</v>
      </c>
      <c r="D1063" s="16"/>
      <c r="E1063" s="2"/>
      <c r="F1063" s="2"/>
      <c r="G1063" s="2"/>
      <c r="H1063" s="2"/>
      <c r="I1063" s="2"/>
      <c r="J1063" s="2"/>
      <c r="K1063" s="3">
        <f>SUM(GMIC_22A_SCDPT1!SCDPT1_144BEGINNG_7:GMIC_22A_SCDPT1!SCDPT1_144ENDINGG_7)</f>
        <v>0</v>
      </c>
      <c r="L1063" s="2"/>
      <c r="M1063" s="3">
        <f>SUM(GMIC_22A_SCDPT1!SCDPT1_144BEGINNG_9:GMIC_22A_SCDPT1!SCDPT1_144ENDINGG_9)</f>
        <v>0</v>
      </c>
      <c r="N1063" s="3">
        <f>SUM(GMIC_22A_SCDPT1!SCDPT1_144BEGINNG_10:GMIC_22A_SCDPT1!SCDPT1_144ENDINGG_10)</f>
        <v>0</v>
      </c>
      <c r="O1063" s="3">
        <f>SUM(GMIC_22A_SCDPT1!SCDPT1_144BEGINNG_11:GMIC_22A_SCDPT1!SCDPT1_144ENDINGG_11)</f>
        <v>0</v>
      </c>
      <c r="P1063" s="3">
        <f>SUM(GMIC_22A_SCDPT1!SCDPT1_144BEGINNG_12:GMIC_22A_SCDPT1!SCDPT1_144ENDINGG_12)</f>
        <v>0</v>
      </c>
      <c r="Q1063" s="3">
        <f>SUM(GMIC_22A_SCDPT1!SCDPT1_144BEGINNG_13:GMIC_22A_SCDPT1!SCDPT1_144ENDINGG_13)</f>
        <v>0</v>
      </c>
      <c r="R1063" s="3">
        <f>SUM(GMIC_22A_SCDPT1!SCDPT1_144BEGINNG_14:GMIC_22A_SCDPT1!SCDPT1_144ENDINGG_14)</f>
        <v>0</v>
      </c>
      <c r="S1063" s="3">
        <f>SUM(GMIC_22A_SCDPT1!SCDPT1_144BEGINNG_15:GMIC_22A_SCDPT1!SCDPT1_144ENDINGG_15)</f>
        <v>0</v>
      </c>
      <c r="T1063" s="2"/>
      <c r="U1063" s="2"/>
      <c r="V1063" s="2"/>
      <c r="W1063" s="3">
        <f>SUM(GMIC_22A_SCDPT1!SCDPT1_144BEGINNG_19:GMIC_22A_SCDPT1!SCDPT1_144ENDINGG_19)</f>
        <v>0</v>
      </c>
      <c r="X1063" s="3">
        <f>SUM(GMIC_22A_SCDPT1!SCDPT1_144BEGINNG_20:GMIC_22A_SCDPT1!SCDPT1_144ENDINGG_20)</f>
        <v>0</v>
      </c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</row>
    <row r="1064" spans="2:40" x14ac:dyDescent="0.3">
      <c r="B1064" s="7" t="s">
        <v>2744</v>
      </c>
      <c r="C1064" s="1" t="s">
        <v>2744</v>
      </c>
      <c r="D1064" s="8" t="s">
        <v>2744</v>
      </c>
      <c r="E1064" s="1" t="s">
        <v>2744</v>
      </c>
      <c r="F1064" s="1" t="s">
        <v>2744</v>
      </c>
      <c r="G1064" s="1" t="s">
        <v>2744</v>
      </c>
      <c r="H1064" s="1" t="s">
        <v>2744</v>
      </c>
      <c r="I1064" s="1" t="s">
        <v>2744</v>
      </c>
      <c r="J1064" s="1" t="s">
        <v>2744</v>
      </c>
      <c r="K1064" s="1" t="s">
        <v>2744</v>
      </c>
      <c r="L1064" s="1" t="s">
        <v>2744</v>
      </c>
      <c r="M1064" s="1" t="s">
        <v>2744</v>
      </c>
      <c r="N1064" s="1" t="s">
        <v>2744</v>
      </c>
      <c r="O1064" s="1" t="s">
        <v>2744</v>
      </c>
      <c r="P1064" s="1" t="s">
        <v>2744</v>
      </c>
      <c r="Q1064" s="1" t="s">
        <v>2744</v>
      </c>
      <c r="R1064" s="1" t="s">
        <v>2744</v>
      </c>
      <c r="S1064" s="1" t="s">
        <v>2744</v>
      </c>
      <c r="T1064" s="1" t="s">
        <v>2744</v>
      </c>
      <c r="U1064" s="1" t="s">
        <v>2744</v>
      </c>
      <c r="V1064" s="1" t="s">
        <v>2744</v>
      </c>
      <c r="W1064" s="1" t="s">
        <v>2744</v>
      </c>
      <c r="X1064" s="1" t="s">
        <v>2744</v>
      </c>
      <c r="Y1064" s="1" t="s">
        <v>2744</v>
      </c>
      <c r="Z1064" s="1" t="s">
        <v>2744</v>
      </c>
      <c r="AA1064" s="1" t="s">
        <v>2744</v>
      </c>
      <c r="AB1064" s="1" t="s">
        <v>2744</v>
      </c>
      <c r="AC1064" s="1" t="s">
        <v>2744</v>
      </c>
      <c r="AD1064" s="1" t="s">
        <v>2744</v>
      </c>
      <c r="AE1064" s="1" t="s">
        <v>2744</v>
      </c>
      <c r="AF1064" s="1" t="s">
        <v>2744</v>
      </c>
      <c r="AG1064" s="1" t="s">
        <v>2744</v>
      </c>
      <c r="AH1064" s="1" t="s">
        <v>2744</v>
      </c>
      <c r="AI1064" s="1" t="s">
        <v>2744</v>
      </c>
      <c r="AJ1064" s="1" t="s">
        <v>2744</v>
      </c>
      <c r="AK1064" s="1" t="s">
        <v>2744</v>
      </c>
      <c r="AL1064" s="1" t="s">
        <v>2744</v>
      </c>
      <c r="AM1064" s="1" t="s">
        <v>2744</v>
      </c>
      <c r="AN1064" s="1" t="s">
        <v>2744</v>
      </c>
    </row>
    <row r="1065" spans="2:40" x14ac:dyDescent="0.3">
      <c r="B1065" s="18" t="s">
        <v>2965</v>
      </c>
      <c r="C1065" s="25" t="s">
        <v>3897</v>
      </c>
      <c r="D1065" s="15" t="s">
        <v>2</v>
      </c>
      <c r="E1065" s="37" t="s">
        <v>2</v>
      </c>
      <c r="F1065" s="20" t="s">
        <v>2</v>
      </c>
      <c r="G1065" s="40" t="s">
        <v>2</v>
      </c>
      <c r="H1065" s="32" t="s">
        <v>2</v>
      </c>
      <c r="I1065" s="33" t="s">
        <v>2</v>
      </c>
      <c r="J1065" s="38" t="s">
        <v>2</v>
      </c>
      <c r="K1065" s="4"/>
      <c r="L1065" s="41"/>
      <c r="M1065" s="4"/>
      <c r="N1065" s="4"/>
      <c r="O1065" s="4"/>
      <c r="P1065" s="4"/>
      <c r="Q1065" s="4"/>
      <c r="R1065" s="4"/>
      <c r="S1065" s="4"/>
      <c r="T1065" s="23"/>
      <c r="U1065" s="23"/>
      <c r="V1065" s="5" t="s">
        <v>2</v>
      </c>
      <c r="W1065" s="4"/>
      <c r="X1065" s="4"/>
      <c r="Y1065" s="6"/>
      <c r="Z1065" s="6"/>
      <c r="AA1065" s="2"/>
      <c r="AB1065" s="31" t="s">
        <v>2</v>
      </c>
      <c r="AC1065" s="5" t="s">
        <v>2</v>
      </c>
      <c r="AD1065" s="2"/>
      <c r="AE1065" s="6"/>
      <c r="AF1065" s="23"/>
      <c r="AG1065" s="6"/>
      <c r="AH1065" s="5" t="s">
        <v>2</v>
      </c>
      <c r="AI1065" s="5" t="s">
        <v>2</v>
      </c>
      <c r="AJ1065" s="5" t="s">
        <v>2</v>
      </c>
      <c r="AK1065" s="21" t="s">
        <v>2</v>
      </c>
      <c r="AL1065" s="39" t="s">
        <v>2</v>
      </c>
      <c r="AM1065" s="26" t="s">
        <v>2</v>
      </c>
      <c r="AN1065" s="34" t="s">
        <v>2</v>
      </c>
    </row>
    <row r="1066" spans="2:40" x14ac:dyDescent="0.3">
      <c r="B1066" s="7" t="s">
        <v>2744</v>
      </c>
      <c r="C1066" s="1" t="s">
        <v>2744</v>
      </c>
      <c r="D1066" s="8" t="s">
        <v>2744</v>
      </c>
      <c r="E1066" s="1" t="s">
        <v>2744</v>
      </c>
      <c r="F1066" s="1" t="s">
        <v>2744</v>
      </c>
      <c r="G1066" s="1" t="s">
        <v>2744</v>
      </c>
      <c r="H1066" s="1" t="s">
        <v>2744</v>
      </c>
      <c r="I1066" s="1" t="s">
        <v>2744</v>
      </c>
      <c r="J1066" s="1" t="s">
        <v>2744</v>
      </c>
      <c r="K1066" s="1" t="s">
        <v>2744</v>
      </c>
      <c r="L1066" s="1" t="s">
        <v>2744</v>
      </c>
      <c r="M1066" s="1" t="s">
        <v>2744</v>
      </c>
      <c r="N1066" s="1" t="s">
        <v>2744</v>
      </c>
      <c r="O1066" s="1" t="s">
        <v>2744</v>
      </c>
      <c r="P1066" s="1" t="s">
        <v>2744</v>
      </c>
      <c r="Q1066" s="1" t="s">
        <v>2744</v>
      </c>
      <c r="R1066" s="1" t="s">
        <v>2744</v>
      </c>
      <c r="S1066" s="1" t="s">
        <v>2744</v>
      </c>
      <c r="T1066" s="1" t="s">
        <v>2744</v>
      </c>
      <c r="U1066" s="1" t="s">
        <v>2744</v>
      </c>
      <c r="V1066" s="1" t="s">
        <v>2744</v>
      </c>
      <c r="W1066" s="1" t="s">
        <v>2744</v>
      </c>
      <c r="X1066" s="1" t="s">
        <v>2744</v>
      </c>
      <c r="Y1066" s="1" t="s">
        <v>2744</v>
      </c>
      <c r="Z1066" s="1" t="s">
        <v>2744</v>
      </c>
      <c r="AA1066" s="1" t="s">
        <v>2744</v>
      </c>
      <c r="AB1066" s="1" t="s">
        <v>2744</v>
      </c>
      <c r="AC1066" s="1" t="s">
        <v>2744</v>
      </c>
      <c r="AD1066" s="1" t="s">
        <v>2744</v>
      </c>
      <c r="AE1066" s="1" t="s">
        <v>2744</v>
      </c>
      <c r="AF1066" s="1" t="s">
        <v>2744</v>
      </c>
      <c r="AG1066" s="1" t="s">
        <v>2744</v>
      </c>
      <c r="AH1066" s="1" t="s">
        <v>2744</v>
      </c>
      <c r="AI1066" s="1" t="s">
        <v>2744</v>
      </c>
      <c r="AJ1066" s="1" t="s">
        <v>2744</v>
      </c>
      <c r="AK1066" s="1" t="s">
        <v>2744</v>
      </c>
      <c r="AL1066" s="1" t="s">
        <v>2744</v>
      </c>
      <c r="AM1066" s="1" t="s">
        <v>2744</v>
      </c>
      <c r="AN1066" s="1" t="s">
        <v>2744</v>
      </c>
    </row>
    <row r="1067" spans="2:40" ht="28" x14ac:dyDescent="0.3">
      <c r="B1067" s="19" t="s">
        <v>3835</v>
      </c>
      <c r="C1067" s="17" t="s">
        <v>2465</v>
      </c>
      <c r="D1067" s="16"/>
      <c r="E1067" s="2"/>
      <c r="F1067" s="2"/>
      <c r="G1067" s="2"/>
      <c r="H1067" s="2"/>
      <c r="I1067" s="2"/>
      <c r="J1067" s="2"/>
      <c r="K1067" s="3">
        <f>SUM(GMIC_22A_SCDPT1!SCDPT1_145BEGINNG_7:GMIC_22A_SCDPT1!SCDPT1_145ENDINGG_7)</f>
        <v>0</v>
      </c>
      <c r="L1067" s="2"/>
      <c r="M1067" s="3">
        <f>SUM(GMIC_22A_SCDPT1!SCDPT1_145BEGINNG_9:GMIC_22A_SCDPT1!SCDPT1_145ENDINGG_9)</f>
        <v>0</v>
      </c>
      <c r="N1067" s="3">
        <f>SUM(GMIC_22A_SCDPT1!SCDPT1_145BEGINNG_10:GMIC_22A_SCDPT1!SCDPT1_145ENDINGG_10)</f>
        <v>0</v>
      </c>
      <c r="O1067" s="3">
        <f>SUM(GMIC_22A_SCDPT1!SCDPT1_145BEGINNG_11:GMIC_22A_SCDPT1!SCDPT1_145ENDINGG_11)</f>
        <v>0</v>
      </c>
      <c r="P1067" s="3">
        <f>SUM(GMIC_22A_SCDPT1!SCDPT1_145BEGINNG_12:GMIC_22A_SCDPT1!SCDPT1_145ENDINGG_12)</f>
        <v>0</v>
      </c>
      <c r="Q1067" s="3">
        <f>SUM(GMIC_22A_SCDPT1!SCDPT1_145BEGINNG_13:GMIC_22A_SCDPT1!SCDPT1_145ENDINGG_13)</f>
        <v>0</v>
      </c>
      <c r="R1067" s="3">
        <f>SUM(GMIC_22A_SCDPT1!SCDPT1_145BEGINNG_14:GMIC_22A_SCDPT1!SCDPT1_145ENDINGG_14)</f>
        <v>0</v>
      </c>
      <c r="S1067" s="3">
        <f>SUM(GMIC_22A_SCDPT1!SCDPT1_145BEGINNG_15:GMIC_22A_SCDPT1!SCDPT1_145ENDINGG_15)</f>
        <v>0</v>
      </c>
      <c r="T1067" s="2"/>
      <c r="U1067" s="2"/>
      <c r="V1067" s="2"/>
      <c r="W1067" s="3">
        <f>SUM(GMIC_22A_SCDPT1!SCDPT1_145BEGINNG_19:GMIC_22A_SCDPT1!SCDPT1_145ENDINGG_19)</f>
        <v>0</v>
      </c>
      <c r="X1067" s="3">
        <f>SUM(GMIC_22A_SCDPT1!SCDPT1_145BEGINNG_20:GMIC_22A_SCDPT1!SCDPT1_145ENDINGG_20)</f>
        <v>0</v>
      </c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</row>
    <row r="1068" spans="2:40" x14ac:dyDescent="0.3">
      <c r="B1068" s="7" t="s">
        <v>2744</v>
      </c>
      <c r="C1068" s="1" t="s">
        <v>2744</v>
      </c>
      <c r="D1068" s="8" t="s">
        <v>2744</v>
      </c>
      <c r="E1068" s="1" t="s">
        <v>2744</v>
      </c>
      <c r="F1068" s="1" t="s">
        <v>2744</v>
      </c>
      <c r="G1068" s="1" t="s">
        <v>2744</v>
      </c>
      <c r="H1068" s="1" t="s">
        <v>2744</v>
      </c>
      <c r="I1068" s="1" t="s">
        <v>2744</v>
      </c>
      <c r="J1068" s="1" t="s">
        <v>2744</v>
      </c>
      <c r="K1068" s="1" t="s">
        <v>2744</v>
      </c>
      <c r="L1068" s="1" t="s">
        <v>2744</v>
      </c>
      <c r="M1068" s="1" t="s">
        <v>2744</v>
      </c>
      <c r="N1068" s="1" t="s">
        <v>2744</v>
      </c>
      <c r="O1068" s="1" t="s">
        <v>2744</v>
      </c>
      <c r="P1068" s="1" t="s">
        <v>2744</v>
      </c>
      <c r="Q1068" s="1" t="s">
        <v>2744</v>
      </c>
      <c r="R1068" s="1" t="s">
        <v>2744</v>
      </c>
      <c r="S1068" s="1" t="s">
        <v>2744</v>
      </c>
      <c r="T1068" s="1" t="s">
        <v>2744</v>
      </c>
      <c r="U1068" s="1" t="s">
        <v>2744</v>
      </c>
      <c r="V1068" s="1" t="s">
        <v>2744</v>
      </c>
      <c r="W1068" s="1" t="s">
        <v>2744</v>
      </c>
      <c r="X1068" s="1" t="s">
        <v>2744</v>
      </c>
      <c r="Y1068" s="1" t="s">
        <v>2744</v>
      </c>
      <c r="Z1068" s="1" t="s">
        <v>2744</v>
      </c>
      <c r="AA1068" s="1" t="s">
        <v>2744</v>
      </c>
      <c r="AB1068" s="1" t="s">
        <v>2744</v>
      </c>
      <c r="AC1068" s="1" t="s">
        <v>2744</v>
      </c>
      <c r="AD1068" s="1" t="s">
        <v>2744</v>
      </c>
      <c r="AE1068" s="1" t="s">
        <v>2744</v>
      </c>
      <c r="AF1068" s="1" t="s">
        <v>2744</v>
      </c>
      <c r="AG1068" s="1" t="s">
        <v>2744</v>
      </c>
      <c r="AH1068" s="1" t="s">
        <v>2744</v>
      </c>
      <c r="AI1068" s="1" t="s">
        <v>2744</v>
      </c>
      <c r="AJ1068" s="1" t="s">
        <v>2744</v>
      </c>
      <c r="AK1068" s="1" t="s">
        <v>2744</v>
      </c>
      <c r="AL1068" s="1" t="s">
        <v>2744</v>
      </c>
      <c r="AM1068" s="1" t="s">
        <v>2744</v>
      </c>
      <c r="AN1068" s="1" t="s">
        <v>2744</v>
      </c>
    </row>
    <row r="1069" spans="2:40" x14ac:dyDescent="0.3">
      <c r="B1069" s="18" t="s">
        <v>2167</v>
      </c>
      <c r="C1069" s="25" t="s">
        <v>3897</v>
      </c>
      <c r="D1069" s="15" t="s">
        <v>2</v>
      </c>
      <c r="E1069" s="37" t="s">
        <v>2</v>
      </c>
      <c r="F1069" s="20" t="s">
        <v>2</v>
      </c>
      <c r="G1069" s="40" t="s">
        <v>2</v>
      </c>
      <c r="H1069" s="32" t="s">
        <v>2</v>
      </c>
      <c r="I1069" s="33" t="s">
        <v>2</v>
      </c>
      <c r="J1069" s="38" t="s">
        <v>2</v>
      </c>
      <c r="K1069" s="4"/>
      <c r="L1069" s="41"/>
      <c r="M1069" s="4"/>
      <c r="N1069" s="4"/>
      <c r="O1069" s="4"/>
      <c r="P1069" s="4"/>
      <c r="Q1069" s="4"/>
      <c r="R1069" s="4"/>
      <c r="S1069" s="4"/>
      <c r="T1069" s="23"/>
      <c r="U1069" s="23"/>
      <c r="V1069" s="5" t="s">
        <v>2</v>
      </c>
      <c r="W1069" s="4"/>
      <c r="X1069" s="4"/>
      <c r="Y1069" s="6"/>
      <c r="Z1069" s="6"/>
      <c r="AA1069" s="2"/>
      <c r="AB1069" s="31" t="s">
        <v>2</v>
      </c>
      <c r="AC1069" s="5" t="s">
        <v>2</v>
      </c>
      <c r="AD1069" s="2"/>
      <c r="AE1069" s="6"/>
      <c r="AF1069" s="23"/>
      <c r="AG1069" s="6"/>
      <c r="AH1069" s="5" t="s">
        <v>2</v>
      </c>
      <c r="AI1069" s="5" t="s">
        <v>2</v>
      </c>
      <c r="AJ1069" s="5" t="s">
        <v>2</v>
      </c>
      <c r="AK1069" s="21" t="s">
        <v>2</v>
      </c>
      <c r="AL1069" s="39" t="s">
        <v>2</v>
      </c>
      <c r="AM1069" s="26" t="s">
        <v>2</v>
      </c>
      <c r="AN1069" s="34" t="s">
        <v>2</v>
      </c>
    </row>
    <row r="1070" spans="2:40" x14ac:dyDescent="0.3">
      <c r="B1070" s="7" t="s">
        <v>2744</v>
      </c>
      <c r="C1070" s="1" t="s">
        <v>2744</v>
      </c>
      <c r="D1070" s="8" t="s">
        <v>2744</v>
      </c>
      <c r="E1070" s="1" t="s">
        <v>2744</v>
      </c>
      <c r="F1070" s="1" t="s">
        <v>2744</v>
      </c>
      <c r="G1070" s="1" t="s">
        <v>2744</v>
      </c>
      <c r="H1070" s="1" t="s">
        <v>2744</v>
      </c>
      <c r="I1070" s="1" t="s">
        <v>2744</v>
      </c>
      <c r="J1070" s="1" t="s">
        <v>2744</v>
      </c>
      <c r="K1070" s="1" t="s">
        <v>2744</v>
      </c>
      <c r="L1070" s="1" t="s">
        <v>2744</v>
      </c>
      <c r="M1070" s="1" t="s">
        <v>2744</v>
      </c>
      <c r="N1070" s="1" t="s">
        <v>2744</v>
      </c>
      <c r="O1070" s="1" t="s">
        <v>2744</v>
      </c>
      <c r="P1070" s="1" t="s">
        <v>2744</v>
      </c>
      <c r="Q1070" s="1" t="s">
        <v>2744</v>
      </c>
      <c r="R1070" s="1" t="s">
        <v>2744</v>
      </c>
      <c r="S1070" s="1" t="s">
        <v>2744</v>
      </c>
      <c r="T1070" s="1" t="s">
        <v>2744</v>
      </c>
      <c r="U1070" s="1" t="s">
        <v>2744</v>
      </c>
      <c r="V1070" s="1" t="s">
        <v>2744</v>
      </c>
      <c r="W1070" s="1" t="s">
        <v>2744</v>
      </c>
      <c r="X1070" s="1" t="s">
        <v>2744</v>
      </c>
      <c r="Y1070" s="1" t="s">
        <v>2744</v>
      </c>
      <c r="Z1070" s="1" t="s">
        <v>2744</v>
      </c>
      <c r="AA1070" s="1" t="s">
        <v>2744</v>
      </c>
      <c r="AB1070" s="1" t="s">
        <v>2744</v>
      </c>
      <c r="AC1070" s="1" t="s">
        <v>2744</v>
      </c>
      <c r="AD1070" s="1" t="s">
        <v>2744</v>
      </c>
      <c r="AE1070" s="1" t="s">
        <v>2744</v>
      </c>
      <c r="AF1070" s="1" t="s">
        <v>2744</v>
      </c>
      <c r="AG1070" s="1" t="s">
        <v>2744</v>
      </c>
      <c r="AH1070" s="1" t="s">
        <v>2744</v>
      </c>
      <c r="AI1070" s="1" t="s">
        <v>2744</v>
      </c>
      <c r="AJ1070" s="1" t="s">
        <v>2744</v>
      </c>
      <c r="AK1070" s="1" t="s">
        <v>2744</v>
      </c>
      <c r="AL1070" s="1" t="s">
        <v>2744</v>
      </c>
      <c r="AM1070" s="1" t="s">
        <v>2744</v>
      </c>
      <c r="AN1070" s="1" t="s">
        <v>2744</v>
      </c>
    </row>
    <row r="1071" spans="2:40" ht="28" x14ac:dyDescent="0.3">
      <c r="B1071" s="19" t="s">
        <v>2966</v>
      </c>
      <c r="C1071" s="17" t="s">
        <v>3836</v>
      </c>
      <c r="D1071" s="16"/>
      <c r="E1071" s="2"/>
      <c r="F1071" s="2"/>
      <c r="G1071" s="2"/>
      <c r="H1071" s="2"/>
      <c r="I1071" s="2"/>
      <c r="J1071" s="2"/>
      <c r="K1071" s="3">
        <f>SUM(GMIC_22A_SCDPT1!SCDPT1_146BEGINNG_7:GMIC_22A_SCDPT1!SCDPT1_146ENDINGG_7)</f>
        <v>0</v>
      </c>
      <c r="L1071" s="2"/>
      <c r="M1071" s="3">
        <f>SUM(GMIC_22A_SCDPT1!SCDPT1_146BEGINNG_9:GMIC_22A_SCDPT1!SCDPT1_146ENDINGG_9)</f>
        <v>0</v>
      </c>
      <c r="N1071" s="3">
        <f>SUM(GMIC_22A_SCDPT1!SCDPT1_146BEGINNG_10:GMIC_22A_SCDPT1!SCDPT1_146ENDINGG_10)</f>
        <v>0</v>
      </c>
      <c r="O1071" s="3">
        <f>SUM(GMIC_22A_SCDPT1!SCDPT1_146BEGINNG_11:GMIC_22A_SCDPT1!SCDPT1_146ENDINGG_11)</f>
        <v>0</v>
      </c>
      <c r="P1071" s="3">
        <f>SUM(GMIC_22A_SCDPT1!SCDPT1_146BEGINNG_12:GMIC_22A_SCDPT1!SCDPT1_146ENDINGG_12)</f>
        <v>0</v>
      </c>
      <c r="Q1071" s="3">
        <f>SUM(GMIC_22A_SCDPT1!SCDPT1_146BEGINNG_13:GMIC_22A_SCDPT1!SCDPT1_146ENDINGG_13)</f>
        <v>0</v>
      </c>
      <c r="R1071" s="3">
        <f>SUM(GMIC_22A_SCDPT1!SCDPT1_146BEGINNG_14:GMIC_22A_SCDPT1!SCDPT1_146ENDINGG_14)</f>
        <v>0</v>
      </c>
      <c r="S1071" s="3">
        <f>SUM(GMIC_22A_SCDPT1!SCDPT1_146BEGINNG_15:GMIC_22A_SCDPT1!SCDPT1_146ENDINGG_15)</f>
        <v>0</v>
      </c>
      <c r="T1071" s="2"/>
      <c r="U1071" s="2"/>
      <c r="V1071" s="2"/>
      <c r="W1071" s="3">
        <f>SUM(GMIC_22A_SCDPT1!SCDPT1_146BEGINNG_19:GMIC_22A_SCDPT1!SCDPT1_146ENDINGG_19)</f>
        <v>0</v>
      </c>
      <c r="X1071" s="3">
        <f>SUM(GMIC_22A_SCDPT1!SCDPT1_146BEGINNG_20:GMIC_22A_SCDPT1!SCDPT1_146ENDINGG_20)</f>
        <v>0</v>
      </c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</row>
    <row r="1072" spans="2:40" ht="28" x14ac:dyDescent="0.3">
      <c r="B1072" s="19" t="s">
        <v>3837</v>
      </c>
      <c r="C1072" s="17" t="s">
        <v>1046</v>
      </c>
      <c r="D1072" s="16"/>
      <c r="E1072" s="2"/>
      <c r="F1072" s="2"/>
      <c r="G1072" s="2"/>
      <c r="H1072" s="2"/>
      <c r="I1072" s="2"/>
      <c r="J1072" s="2"/>
      <c r="K1072" s="3">
        <f>GMIC_22A_SCDPT1!SCDPT1_1419999999_7+GMIC_22A_SCDPT1!SCDPT1_1429999999_7+GMIC_22A_SCDPT1!SCDPT1_1439999999_7+GMIC_22A_SCDPT1!SCDPT1_1449999999_7+GMIC_22A_SCDPT1!SCDPT1_1459999999_7+GMIC_22A_SCDPT1!SCDPT1_1469999999_7</f>
        <v>0</v>
      </c>
      <c r="L1072" s="2"/>
      <c r="M1072" s="3">
        <f>GMIC_22A_SCDPT1!SCDPT1_1419999999_9+GMIC_22A_SCDPT1!SCDPT1_1429999999_9+GMIC_22A_SCDPT1!SCDPT1_1439999999_9+GMIC_22A_SCDPT1!SCDPT1_1449999999_9+GMIC_22A_SCDPT1!SCDPT1_1459999999_9+GMIC_22A_SCDPT1!SCDPT1_1469999999_9</f>
        <v>0</v>
      </c>
      <c r="N1072" s="3">
        <f>GMIC_22A_SCDPT1!SCDPT1_1419999999_10+GMIC_22A_SCDPT1!SCDPT1_1429999999_10+GMIC_22A_SCDPT1!SCDPT1_1439999999_10+GMIC_22A_SCDPT1!SCDPT1_1449999999_10+GMIC_22A_SCDPT1!SCDPT1_1459999999_10+GMIC_22A_SCDPT1!SCDPT1_1469999999_10</f>
        <v>0</v>
      </c>
      <c r="O1072" s="3">
        <f>GMIC_22A_SCDPT1!SCDPT1_1419999999_11+GMIC_22A_SCDPT1!SCDPT1_1429999999_11+GMIC_22A_SCDPT1!SCDPT1_1439999999_11+GMIC_22A_SCDPT1!SCDPT1_1449999999_11+GMIC_22A_SCDPT1!SCDPT1_1459999999_11+GMIC_22A_SCDPT1!SCDPT1_1469999999_11</f>
        <v>0</v>
      </c>
      <c r="P1072" s="3">
        <f>GMIC_22A_SCDPT1!SCDPT1_1419999999_12+GMIC_22A_SCDPT1!SCDPT1_1429999999_12+GMIC_22A_SCDPT1!SCDPT1_1439999999_12+GMIC_22A_SCDPT1!SCDPT1_1449999999_12+GMIC_22A_SCDPT1!SCDPT1_1459999999_12+GMIC_22A_SCDPT1!SCDPT1_1469999999_12</f>
        <v>0</v>
      </c>
      <c r="Q1072" s="3">
        <f>GMIC_22A_SCDPT1!SCDPT1_1419999999_13+GMIC_22A_SCDPT1!SCDPT1_1429999999_13+GMIC_22A_SCDPT1!SCDPT1_1439999999_13+GMIC_22A_SCDPT1!SCDPT1_1449999999_13+GMIC_22A_SCDPT1!SCDPT1_1459999999_13+GMIC_22A_SCDPT1!SCDPT1_1469999999_13</f>
        <v>0</v>
      </c>
      <c r="R1072" s="3">
        <f>GMIC_22A_SCDPT1!SCDPT1_1419999999_14+GMIC_22A_SCDPT1!SCDPT1_1429999999_14+GMIC_22A_SCDPT1!SCDPT1_1439999999_14+GMIC_22A_SCDPT1!SCDPT1_1449999999_14+GMIC_22A_SCDPT1!SCDPT1_1459999999_14+GMIC_22A_SCDPT1!SCDPT1_1469999999_14</f>
        <v>0</v>
      </c>
      <c r="S1072" s="3">
        <f>GMIC_22A_SCDPT1!SCDPT1_1419999999_15+GMIC_22A_SCDPT1!SCDPT1_1429999999_15+GMIC_22A_SCDPT1!SCDPT1_1439999999_15+GMIC_22A_SCDPT1!SCDPT1_1449999999_15+GMIC_22A_SCDPT1!SCDPT1_1459999999_15+GMIC_22A_SCDPT1!SCDPT1_1469999999_15</f>
        <v>0</v>
      </c>
      <c r="T1072" s="2"/>
      <c r="U1072" s="2"/>
      <c r="V1072" s="2"/>
      <c r="W1072" s="3">
        <f>GMIC_22A_SCDPT1!SCDPT1_1419999999_19+GMIC_22A_SCDPT1!SCDPT1_1429999999_19+GMIC_22A_SCDPT1!SCDPT1_1439999999_19+GMIC_22A_SCDPT1!SCDPT1_1449999999_19+GMIC_22A_SCDPT1!SCDPT1_1459999999_19+GMIC_22A_SCDPT1!SCDPT1_1469999999_19</f>
        <v>0</v>
      </c>
      <c r="X1072" s="3">
        <f>GMIC_22A_SCDPT1!SCDPT1_1419999999_20+GMIC_22A_SCDPT1!SCDPT1_1429999999_20+GMIC_22A_SCDPT1!SCDPT1_1439999999_20+GMIC_22A_SCDPT1!SCDPT1_1449999999_20+GMIC_22A_SCDPT1!SCDPT1_1459999999_20+GMIC_22A_SCDPT1!SCDPT1_1469999999_20</f>
        <v>0</v>
      </c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</row>
    <row r="1073" spans="2:40" x14ac:dyDescent="0.3">
      <c r="B1073" s="7" t="s">
        <v>2744</v>
      </c>
      <c r="C1073" s="1" t="s">
        <v>2744</v>
      </c>
      <c r="D1073" s="8" t="s">
        <v>2744</v>
      </c>
      <c r="E1073" s="1" t="s">
        <v>2744</v>
      </c>
      <c r="F1073" s="1" t="s">
        <v>2744</v>
      </c>
      <c r="G1073" s="1" t="s">
        <v>2744</v>
      </c>
      <c r="H1073" s="1" t="s">
        <v>2744</v>
      </c>
      <c r="I1073" s="1" t="s">
        <v>2744</v>
      </c>
      <c r="J1073" s="1" t="s">
        <v>2744</v>
      </c>
      <c r="K1073" s="1" t="s">
        <v>2744</v>
      </c>
      <c r="L1073" s="1" t="s">
        <v>2744</v>
      </c>
      <c r="M1073" s="1" t="s">
        <v>2744</v>
      </c>
      <c r="N1073" s="1" t="s">
        <v>2744</v>
      </c>
      <c r="O1073" s="1" t="s">
        <v>2744</v>
      </c>
      <c r="P1073" s="1" t="s">
        <v>2744</v>
      </c>
      <c r="Q1073" s="1" t="s">
        <v>2744</v>
      </c>
      <c r="R1073" s="1" t="s">
        <v>2744</v>
      </c>
      <c r="S1073" s="1" t="s">
        <v>2744</v>
      </c>
      <c r="T1073" s="1" t="s">
        <v>2744</v>
      </c>
      <c r="U1073" s="1" t="s">
        <v>2744</v>
      </c>
      <c r="V1073" s="1" t="s">
        <v>2744</v>
      </c>
      <c r="W1073" s="1" t="s">
        <v>2744</v>
      </c>
      <c r="X1073" s="1" t="s">
        <v>2744</v>
      </c>
      <c r="Y1073" s="1" t="s">
        <v>2744</v>
      </c>
      <c r="Z1073" s="1" t="s">
        <v>2744</v>
      </c>
      <c r="AA1073" s="1" t="s">
        <v>2744</v>
      </c>
      <c r="AB1073" s="1" t="s">
        <v>2744</v>
      </c>
      <c r="AC1073" s="1" t="s">
        <v>2744</v>
      </c>
      <c r="AD1073" s="1" t="s">
        <v>2744</v>
      </c>
      <c r="AE1073" s="1" t="s">
        <v>2744</v>
      </c>
      <c r="AF1073" s="1" t="s">
        <v>2744</v>
      </c>
      <c r="AG1073" s="1" t="s">
        <v>2744</v>
      </c>
      <c r="AH1073" s="1" t="s">
        <v>2744</v>
      </c>
      <c r="AI1073" s="1" t="s">
        <v>2744</v>
      </c>
      <c r="AJ1073" s="1" t="s">
        <v>2744</v>
      </c>
      <c r="AK1073" s="1" t="s">
        <v>2744</v>
      </c>
      <c r="AL1073" s="1" t="s">
        <v>2744</v>
      </c>
      <c r="AM1073" s="1" t="s">
        <v>2744</v>
      </c>
      <c r="AN1073" s="1" t="s">
        <v>2744</v>
      </c>
    </row>
    <row r="1074" spans="2:40" x14ac:dyDescent="0.3">
      <c r="B1074" s="18" t="s">
        <v>2466</v>
      </c>
      <c r="C1074" s="25" t="s">
        <v>3897</v>
      </c>
      <c r="D1074" s="15" t="s">
        <v>2</v>
      </c>
      <c r="E1074" s="37" t="s">
        <v>2</v>
      </c>
      <c r="F1074" s="20" t="s">
        <v>2</v>
      </c>
      <c r="G1074" s="40" t="s">
        <v>2</v>
      </c>
      <c r="H1074" s="32" t="s">
        <v>2</v>
      </c>
      <c r="I1074" s="33" t="s">
        <v>2</v>
      </c>
      <c r="J1074" s="38" t="s">
        <v>2</v>
      </c>
      <c r="K1074" s="4"/>
      <c r="L1074" s="41"/>
      <c r="M1074" s="4"/>
      <c r="N1074" s="4"/>
      <c r="O1074" s="4"/>
      <c r="P1074" s="4"/>
      <c r="Q1074" s="4"/>
      <c r="R1074" s="4"/>
      <c r="S1074" s="4"/>
      <c r="T1074" s="23"/>
      <c r="U1074" s="23"/>
      <c r="V1074" s="5" t="s">
        <v>2</v>
      </c>
      <c r="W1074" s="4"/>
      <c r="X1074" s="4"/>
      <c r="Y1074" s="6"/>
      <c r="Z1074" s="6"/>
      <c r="AA1074" s="2"/>
      <c r="AB1074" s="31" t="s">
        <v>2</v>
      </c>
      <c r="AC1074" s="5" t="s">
        <v>2</v>
      </c>
      <c r="AD1074" s="2"/>
      <c r="AE1074" s="6"/>
      <c r="AF1074" s="23"/>
      <c r="AG1074" s="6"/>
      <c r="AH1074" s="5" t="s">
        <v>2</v>
      </c>
      <c r="AI1074" s="5" t="s">
        <v>2</v>
      </c>
      <c r="AJ1074" s="5" t="s">
        <v>2</v>
      </c>
      <c r="AK1074" s="21" t="s">
        <v>2</v>
      </c>
      <c r="AL1074" s="39" t="s">
        <v>2</v>
      </c>
      <c r="AM1074" s="26" t="s">
        <v>2</v>
      </c>
      <c r="AN1074" s="34" t="s">
        <v>2</v>
      </c>
    </row>
    <row r="1075" spans="2:40" x14ac:dyDescent="0.3">
      <c r="B1075" s="7" t="s">
        <v>2744</v>
      </c>
      <c r="C1075" s="1" t="s">
        <v>2744</v>
      </c>
      <c r="D1075" s="8" t="s">
        <v>2744</v>
      </c>
      <c r="E1075" s="1" t="s">
        <v>2744</v>
      </c>
      <c r="F1075" s="1" t="s">
        <v>2744</v>
      </c>
      <c r="G1075" s="1" t="s">
        <v>2744</v>
      </c>
      <c r="H1075" s="1" t="s">
        <v>2744</v>
      </c>
      <c r="I1075" s="1" t="s">
        <v>2744</v>
      </c>
      <c r="J1075" s="1" t="s">
        <v>2744</v>
      </c>
      <c r="K1075" s="1" t="s">
        <v>2744</v>
      </c>
      <c r="L1075" s="1" t="s">
        <v>2744</v>
      </c>
      <c r="M1075" s="1" t="s">
        <v>2744</v>
      </c>
      <c r="N1075" s="1" t="s">
        <v>2744</v>
      </c>
      <c r="O1075" s="1" t="s">
        <v>2744</v>
      </c>
      <c r="P1075" s="1" t="s">
        <v>2744</v>
      </c>
      <c r="Q1075" s="1" t="s">
        <v>2744</v>
      </c>
      <c r="R1075" s="1" t="s">
        <v>2744</v>
      </c>
      <c r="S1075" s="1" t="s">
        <v>2744</v>
      </c>
      <c r="T1075" s="1" t="s">
        <v>2744</v>
      </c>
      <c r="U1075" s="1" t="s">
        <v>2744</v>
      </c>
      <c r="V1075" s="1" t="s">
        <v>2744</v>
      </c>
      <c r="W1075" s="1" t="s">
        <v>2744</v>
      </c>
      <c r="X1075" s="1" t="s">
        <v>2744</v>
      </c>
      <c r="Y1075" s="1" t="s">
        <v>2744</v>
      </c>
      <c r="Z1075" s="1" t="s">
        <v>2744</v>
      </c>
      <c r="AA1075" s="1" t="s">
        <v>2744</v>
      </c>
      <c r="AB1075" s="1" t="s">
        <v>2744</v>
      </c>
      <c r="AC1075" s="1" t="s">
        <v>2744</v>
      </c>
      <c r="AD1075" s="1" t="s">
        <v>2744</v>
      </c>
      <c r="AE1075" s="1" t="s">
        <v>2744</v>
      </c>
      <c r="AF1075" s="1" t="s">
        <v>2744</v>
      </c>
      <c r="AG1075" s="1" t="s">
        <v>2744</v>
      </c>
      <c r="AH1075" s="1" t="s">
        <v>2744</v>
      </c>
      <c r="AI1075" s="1" t="s">
        <v>2744</v>
      </c>
      <c r="AJ1075" s="1" t="s">
        <v>2744</v>
      </c>
      <c r="AK1075" s="1" t="s">
        <v>2744</v>
      </c>
      <c r="AL1075" s="1" t="s">
        <v>2744</v>
      </c>
      <c r="AM1075" s="1" t="s">
        <v>2744</v>
      </c>
      <c r="AN1075" s="1" t="s">
        <v>2744</v>
      </c>
    </row>
    <row r="1076" spans="2:40" ht="56" x14ac:dyDescent="0.3">
      <c r="B1076" s="19" t="s">
        <v>3303</v>
      </c>
      <c r="C1076" s="17" t="s">
        <v>2467</v>
      </c>
      <c r="D1076" s="16"/>
      <c r="E1076" s="2"/>
      <c r="F1076" s="2"/>
      <c r="G1076" s="2"/>
      <c r="H1076" s="2"/>
      <c r="I1076" s="2"/>
      <c r="J1076" s="2"/>
      <c r="K1076" s="3">
        <f>SUM(GMIC_22A_SCDPT1!SCDPT1_161BEGINNG_7:GMIC_22A_SCDPT1!SCDPT1_161ENDINGG_7)</f>
        <v>0</v>
      </c>
      <c r="L1076" s="2"/>
      <c r="M1076" s="3">
        <f>SUM(GMIC_22A_SCDPT1!SCDPT1_161BEGINNG_9:GMIC_22A_SCDPT1!SCDPT1_161ENDINGG_9)</f>
        <v>0</v>
      </c>
      <c r="N1076" s="3">
        <f>SUM(GMIC_22A_SCDPT1!SCDPT1_161BEGINNG_10:GMIC_22A_SCDPT1!SCDPT1_161ENDINGG_10)</f>
        <v>0</v>
      </c>
      <c r="O1076" s="3">
        <f>SUM(GMIC_22A_SCDPT1!SCDPT1_161BEGINNG_11:GMIC_22A_SCDPT1!SCDPT1_161ENDINGG_11)</f>
        <v>0</v>
      </c>
      <c r="P1076" s="3">
        <f>SUM(GMIC_22A_SCDPT1!SCDPT1_161BEGINNG_12:GMIC_22A_SCDPT1!SCDPT1_161ENDINGG_12)</f>
        <v>0</v>
      </c>
      <c r="Q1076" s="3">
        <f>SUM(GMIC_22A_SCDPT1!SCDPT1_161BEGINNG_13:GMIC_22A_SCDPT1!SCDPT1_161ENDINGG_13)</f>
        <v>0</v>
      </c>
      <c r="R1076" s="3">
        <f>SUM(GMIC_22A_SCDPT1!SCDPT1_161BEGINNG_14:GMIC_22A_SCDPT1!SCDPT1_161ENDINGG_14)</f>
        <v>0</v>
      </c>
      <c r="S1076" s="3">
        <f>SUM(GMIC_22A_SCDPT1!SCDPT1_161BEGINNG_15:GMIC_22A_SCDPT1!SCDPT1_161ENDINGG_15)</f>
        <v>0</v>
      </c>
      <c r="T1076" s="2"/>
      <c r="U1076" s="2"/>
      <c r="V1076" s="2"/>
      <c r="W1076" s="3">
        <f>SUM(GMIC_22A_SCDPT1!SCDPT1_161BEGINNG_19:GMIC_22A_SCDPT1!SCDPT1_161ENDINGG_19)</f>
        <v>0</v>
      </c>
      <c r="X1076" s="3">
        <f>SUM(GMIC_22A_SCDPT1!SCDPT1_161BEGINNG_20:GMIC_22A_SCDPT1!SCDPT1_161ENDINGG_20)</f>
        <v>0</v>
      </c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</row>
    <row r="1077" spans="2:40" x14ac:dyDescent="0.3">
      <c r="B1077" s="7" t="s">
        <v>2744</v>
      </c>
      <c r="C1077" s="1" t="s">
        <v>2744</v>
      </c>
      <c r="D1077" s="8" t="s">
        <v>2744</v>
      </c>
      <c r="E1077" s="1" t="s">
        <v>2744</v>
      </c>
      <c r="F1077" s="1" t="s">
        <v>2744</v>
      </c>
      <c r="G1077" s="1" t="s">
        <v>2744</v>
      </c>
      <c r="H1077" s="1" t="s">
        <v>2744</v>
      </c>
      <c r="I1077" s="1" t="s">
        <v>2744</v>
      </c>
      <c r="J1077" s="1" t="s">
        <v>2744</v>
      </c>
      <c r="K1077" s="1" t="s">
        <v>2744</v>
      </c>
      <c r="L1077" s="1" t="s">
        <v>2744</v>
      </c>
      <c r="M1077" s="1" t="s">
        <v>2744</v>
      </c>
      <c r="N1077" s="1" t="s">
        <v>2744</v>
      </c>
      <c r="O1077" s="1" t="s">
        <v>2744</v>
      </c>
      <c r="P1077" s="1" t="s">
        <v>2744</v>
      </c>
      <c r="Q1077" s="1" t="s">
        <v>2744</v>
      </c>
      <c r="R1077" s="1" t="s">
        <v>2744</v>
      </c>
      <c r="S1077" s="1" t="s">
        <v>2744</v>
      </c>
      <c r="T1077" s="1" t="s">
        <v>2744</v>
      </c>
      <c r="U1077" s="1" t="s">
        <v>2744</v>
      </c>
      <c r="V1077" s="1" t="s">
        <v>2744</v>
      </c>
      <c r="W1077" s="1" t="s">
        <v>2744</v>
      </c>
      <c r="X1077" s="1" t="s">
        <v>2744</v>
      </c>
      <c r="Y1077" s="1" t="s">
        <v>2744</v>
      </c>
      <c r="Z1077" s="1" t="s">
        <v>2744</v>
      </c>
      <c r="AA1077" s="1" t="s">
        <v>2744</v>
      </c>
      <c r="AB1077" s="1" t="s">
        <v>2744</v>
      </c>
      <c r="AC1077" s="1" t="s">
        <v>2744</v>
      </c>
      <c r="AD1077" s="1" t="s">
        <v>2744</v>
      </c>
      <c r="AE1077" s="1" t="s">
        <v>2744</v>
      </c>
      <c r="AF1077" s="1" t="s">
        <v>2744</v>
      </c>
      <c r="AG1077" s="1" t="s">
        <v>2744</v>
      </c>
      <c r="AH1077" s="1" t="s">
        <v>2744</v>
      </c>
      <c r="AI1077" s="1" t="s">
        <v>2744</v>
      </c>
      <c r="AJ1077" s="1" t="s">
        <v>2744</v>
      </c>
      <c r="AK1077" s="1" t="s">
        <v>2744</v>
      </c>
      <c r="AL1077" s="1" t="s">
        <v>2744</v>
      </c>
      <c r="AM1077" s="1" t="s">
        <v>2744</v>
      </c>
      <c r="AN1077" s="1" t="s">
        <v>2744</v>
      </c>
    </row>
    <row r="1078" spans="2:40" x14ac:dyDescent="0.3">
      <c r="B1078" s="18" t="s">
        <v>2967</v>
      </c>
      <c r="C1078" s="25" t="s">
        <v>3897</v>
      </c>
      <c r="D1078" s="15" t="s">
        <v>2</v>
      </c>
      <c r="E1078" s="37" t="s">
        <v>2</v>
      </c>
      <c r="F1078" s="20" t="s">
        <v>2</v>
      </c>
      <c r="G1078" s="40" t="s">
        <v>2</v>
      </c>
      <c r="H1078" s="32" t="s">
        <v>2</v>
      </c>
      <c r="I1078" s="33" t="s">
        <v>2</v>
      </c>
      <c r="J1078" s="38" t="s">
        <v>2</v>
      </c>
      <c r="K1078" s="4"/>
      <c r="L1078" s="41"/>
      <c r="M1078" s="4"/>
      <c r="N1078" s="4"/>
      <c r="O1078" s="4"/>
      <c r="P1078" s="4"/>
      <c r="Q1078" s="4"/>
      <c r="R1078" s="4"/>
      <c r="S1078" s="4"/>
      <c r="T1078" s="23"/>
      <c r="U1078" s="23"/>
      <c r="V1078" s="5" t="s">
        <v>2</v>
      </c>
      <c r="W1078" s="4"/>
      <c r="X1078" s="4"/>
      <c r="Y1078" s="6"/>
      <c r="Z1078" s="6"/>
      <c r="AA1078" s="2"/>
      <c r="AB1078" s="31" t="s">
        <v>2</v>
      </c>
      <c r="AC1078" s="5" t="s">
        <v>2</v>
      </c>
      <c r="AD1078" s="2"/>
      <c r="AE1078" s="6"/>
      <c r="AF1078" s="23"/>
      <c r="AG1078" s="6"/>
      <c r="AH1078" s="5" t="s">
        <v>2</v>
      </c>
      <c r="AI1078" s="5" t="s">
        <v>2</v>
      </c>
      <c r="AJ1078" s="5" t="s">
        <v>2</v>
      </c>
      <c r="AK1078" s="21" t="s">
        <v>2</v>
      </c>
      <c r="AL1078" s="39" t="s">
        <v>2</v>
      </c>
      <c r="AM1078" s="26" t="s">
        <v>2</v>
      </c>
      <c r="AN1078" s="34" t="s">
        <v>2</v>
      </c>
    </row>
    <row r="1079" spans="2:40" x14ac:dyDescent="0.3">
      <c r="B1079" s="7" t="s">
        <v>2744</v>
      </c>
      <c r="C1079" s="1" t="s">
        <v>2744</v>
      </c>
      <c r="D1079" s="8" t="s">
        <v>2744</v>
      </c>
      <c r="E1079" s="1" t="s">
        <v>2744</v>
      </c>
      <c r="F1079" s="1" t="s">
        <v>2744</v>
      </c>
      <c r="G1079" s="1" t="s">
        <v>2744</v>
      </c>
      <c r="H1079" s="1" t="s">
        <v>2744</v>
      </c>
      <c r="I1079" s="1" t="s">
        <v>2744</v>
      </c>
      <c r="J1079" s="1" t="s">
        <v>2744</v>
      </c>
      <c r="K1079" s="1" t="s">
        <v>2744</v>
      </c>
      <c r="L1079" s="1" t="s">
        <v>2744</v>
      </c>
      <c r="M1079" s="1" t="s">
        <v>2744</v>
      </c>
      <c r="N1079" s="1" t="s">
        <v>2744</v>
      </c>
      <c r="O1079" s="1" t="s">
        <v>2744</v>
      </c>
      <c r="P1079" s="1" t="s">
        <v>2744</v>
      </c>
      <c r="Q1079" s="1" t="s">
        <v>2744</v>
      </c>
      <c r="R1079" s="1" t="s">
        <v>2744</v>
      </c>
      <c r="S1079" s="1" t="s">
        <v>2744</v>
      </c>
      <c r="T1079" s="1" t="s">
        <v>2744</v>
      </c>
      <c r="U1079" s="1" t="s">
        <v>2744</v>
      </c>
      <c r="V1079" s="1" t="s">
        <v>2744</v>
      </c>
      <c r="W1079" s="1" t="s">
        <v>2744</v>
      </c>
      <c r="X1079" s="1" t="s">
        <v>2744</v>
      </c>
      <c r="Y1079" s="1" t="s">
        <v>2744</v>
      </c>
      <c r="Z1079" s="1" t="s">
        <v>2744</v>
      </c>
      <c r="AA1079" s="1" t="s">
        <v>2744</v>
      </c>
      <c r="AB1079" s="1" t="s">
        <v>2744</v>
      </c>
      <c r="AC1079" s="1" t="s">
        <v>2744</v>
      </c>
      <c r="AD1079" s="1" t="s">
        <v>2744</v>
      </c>
      <c r="AE1079" s="1" t="s">
        <v>2744</v>
      </c>
      <c r="AF1079" s="1" t="s">
        <v>2744</v>
      </c>
      <c r="AG1079" s="1" t="s">
        <v>2744</v>
      </c>
      <c r="AH1079" s="1" t="s">
        <v>2744</v>
      </c>
      <c r="AI1079" s="1" t="s">
        <v>2744</v>
      </c>
      <c r="AJ1079" s="1" t="s">
        <v>2744</v>
      </c>
      <c r="AK1079" s="1" t="s">
        <v>2744</v>
      </c>
      <c r="AL1079" s="1" t="s">
        <v>2744</v>
      </c>
      <c r="AM1079" s="1" t="s">
        <v>2744</v>
      </c>
      <c r="AN1079" s="1" t="s">
        <v>2744</v>
      </c>
    </row>
    <row r="1080" spans="2:40" ht="28" x14ac:dyDescent="0.3">
      <c r="B1080" s="19" t="s">
        <v>3838</v>
      </c>
      <c r="C1080" s="17" t="s">
        <v>4111</v>
      </c>
      <c r="D1080" s="16"/>
      <c r="E1080" s="2"/>
      <c r="F1080" s="2"/>
      <c r="G1080" s="2"/>
      <c r="H1080" s="2"/>
      <c r="I1080" s="2"/>
      <c r="J1080" s="2"/>
      <c r="K1080" s="3">
        <f>SUM(GMIC_22A_SCDPT1!SCDPT1_181BEGINNG_7:GMIC_22A_SCDPT1!SCDPT1_181ENDINGG_7)</f>
        <v>0</v>
      </c>
      <c r="L1080" s="2"/>
      <c r="M1080" s="3">
        <f>SUM(GMIC_22A_SCDPT1!SCDPT1_181BEGINNG_9:GMIC_22A_SCDPT1!SCDPT1_181ENDINGG_9)</f>
        <v>0</v>
      </c>
      <c r="N1080" s="3">
        <f>SUM(GMIC_22A_SCDPT1!SCDPT1_181BEGINNG_10:GMIC_22A_SCDPT1!SCDPT1_181ENDINGG_10)</f>
        <v>0</v>
      </c>
      <c r="O1080" s="3">
        <f>SUM(GMIC_22A_SCDPT1!SCDPT1_181BEGINNG_11:GMIC_22A_SCDPT1!SCDPT1_181ENDINGG_11)</f>
        <v>0</v>
      </c>
      <c r="P1080" s="3">
        <f>SUM(GMIC_22A_SCDPT1!SCDPT1_181BEGINNG_12:GMIC_22A_SCDPT1!SCDPT1_181ENDINGG_12)</f>
        <v>0</v>
      </c>
      <c r="Q1080" s="3">
        <f>SUM(GMIC_22A_SCDPT1!SCDPT1_181BEGINNG_13:GMIC_22A_SCDPT1!SCDPT1_181ENDINGG_13)</f>
        <v>0</v>
      </c>
      <c r="R1080" s="3">
        <f>SUM(GMIC_22A_SCDPT1!SCDPT1_181BEGINNG_14:GMIC_22A_SCDPT1!SCDPT1_181ENDINGG_14)</f>
        <v>0</v>
      </c>
      <c r="S1080" s="3">
        <f>SUM(GMIC_22A_SCDPT1!SCDPT1_181BEGINNG_15:GMIC_22A_SCDPT1!SCDPT1_181ENDINGG_15)</f>
        <v>0</v>
      </c>
      <c r="T1080" s="2"/>
      <c r="U1080" s="2"/>
      <c r="V1080" s="2"/>
      <c r="W1080" s="3">
        <f>SUM(GMIC_22A_SCDPT1!SCDPT1_181BEGINNG_19:GMIC_22A_SCDPT1!SCDPT1_181ENDINGG_19)</f>
        <v>0</v>
      </c>
      <c r="X1080" s="3">
        <f>SUM(GMIC_22A_SCDPT1!SCDPT1_181BEGINNG_20:GMIC_22A_SCDPT1!SCDPT1_181ENDINGG_20)</f>
        <v>0</v>
      </c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</row>
    <row r="1081" spans="2:40" x14ac:dyDescent="0.3">
      <c r="B1081" s="7" t="s">
        <v>2744</v>
      </c>
      <c r="C1081" s="1" t="s">
        <v>2744</v>
      </c>
      <c r="D1081" s="8" t="s">
        <v>2744</v>
      </c>
      <c r="E1081" s="1" t="s">
        <v>2744</v>
      </c>
      <c r="F1081" s="1" t="s">
        <v>2744</v>
      </c>
      <c r="G1081" s="1" t="s">
        <v>2744</v>
      </c>
      <c r="H1081" s="1" t="s">
        <v>2744</v>
      </c>
      <c r="I1081" s="1" t="s">
        <v>2744</v>
      </c>
      <c r="J1081" s="1" t="s">
        <v>2744</v>
      </c>
      <c r="K1081" s="1" t="s">
        <v>2744</v>
      </c>
      <c r="L1081" s="1" t="s">
        <v>2744</v>
      </c>
      <c r="M1081" s="1" t="s">
        <v>2744</v>
      </c>
      <c r="N1081" s="1" t="s">
        <v>2744</v>
      </c>
      <c r="O1081" s="1" t="s">
        <v>2744</v>
      </c>
      <c r="P1081" s="1" t="s">
        <v>2744</v>
      </c>
      <c r="Q1081" s="1" t="s">
        <v>2744</v>
      </c>
      <c r="R1081" s="1" t="s">
        <v>2744</v>
      </c>
      <c r="S1081" s="1" t="s">
        <v>2744</v>
      </c>
      <c r="T1081" s="1" t="s">
        <v>2744</v>
      </c>
      <c r="U1081" s="1" t="s">
        <v>2744</v>
      </c>
      <c r="V1081" s="1" t="s">
        <v>2744</v>
      </c>
      <c r="W1081" s="1" t="s">
        <v>2744</v>
      </c>
      <c r="X1081" s="1" t="s">
        <v>2744</v>
      </c>
      <c r="Y1081" s="1" t="s">
        <v>2744</v>
      </c>
      <c r="Z1081" s="1" t="s">
        <v>2744</v>
      </c>
      <c r="AA1081" s="1" t="s">
        <v>2744</v>
      </c>
      <c r="AB1081" s="1" t="s">
        <v>2744</v>
      </c>
      <c r="AC1081" s="1" t="s">
        <v>2744</v>
      </c>
      <c r="AD1081" s="1" t="s">
        <v>2744</v>
      </c>
      <c r="AE1081" s="1" t="s">
        <v>2744</v>
      </c>
      <c r="AF1081" s="1" t="s">
        <v>2744</v>
      </c>
      <c r="AG1081" s="1" t="s">
        <v>2744</v>
      </c>
      <c r="AH1081" s="1" t="s">
        <v>2744</v>
      </c>
      <c r="AI1081" s="1" t="s">
        <v>2744</v>
      </c>
      <c r="AJ1081" s="1" t="s">
        <v>2744</v>
      </c>
      <c r="AK1081" s="1" t="s">
        <v>2744</v>
      </c>
      <c r="AL1081" s="1" t="s">
        <v>2744</v>
      </c>
      <c r="AM1081" s="1" t="s">
        <v>2744</v>
      </c>
      <c r="AN1081" s="1" t="s">
        <v>2744</v>
      </c>
    </row>
    <row r="1082" spans="2:40" x14ac:dyDescent="0.3">
      <c r="B1082" s="18" t="s">
        <v>2168</v>
      </c>
      <c r="C1082" s="25" t="s">
        <v>3897</v>
      </c>
      <c r="D1082" s="15" t="s">
        <v>2</v>
      </c>
      <c r="E1082" s="37" t="s">
        <v>2</v>
      </c>
      <c r="F1082" s="20" t="s">
        <v>2</v>
      </c>
      <c r="G1082" s="40" t="s">
        <v>2</v>
      </c>
      <c r="H1082" s="32" t="s">
        <v>2</v>
      </c>
      <c r="I1082" s="33" t="s">
        <v>2</v>
      </c>
      <c r="J1082" s="38" t="s">
        <v>2</v>
      </c>
      <c r="K1082" s="4"/>
      <c r="L1082" s="41"/>
      <c r="M1082" s="4"/>
      <c r="N1082" s="4"/>
      <c r="O1082" s="4"/>
      <c r="P1082" s="4"/>
      <c r="Q1082" s="4"/>
      <c r="R1082" s="4"/>
      <c r="S1082" s="4"/>
      <c r="T1082" s="23"/>
      <c r="U1082" s="23"/>
      <c r="V1082" s="5" t="s">
        <v>2</v>
      </c>
      <c r="W1082" s="4"/>
      <c r="X1082" s="4"/>
      <c r="Y1082" s="6"/>
      <c r="Z1082" s="6"/>
      <c r="AA1082" s="2"/>
      <c r="AB1082" s="31" t="s">
        <v>2</v>
      </c>
      <c r="AC1082" s="5" t="s">
        <v>2</v>
      </c>
      <c r="AD1082" s="2"/>
      <c r="AE1082" s="6"/>
      <c r="AF1082" s="23"/>
      <c r="AG1082" s="6"/>
      <c r="AH1082" s="5" t="s">
        <v>2</v>
      </c>
      <c r="AI1082" s="5" t="s">
        <v>2</v>
      </c>
      <c r="AJ1082" s="5" t="s">
        <v>2</v>
      </c>
      <c r="AK1082" s="21" t="s">
        <v>2</v>
      </c>
      <c r="AL1082" s="39" t="s">
        <v>2</v>
      </c>
      <c r="AM1082" s="26" t="s">
        <v>2</v>
      </c>
      <c r="AN1082" s="34" t="s">
        <v>2</v>
      </c>
    </row>
    <row r="1083" spans="2:40" x14ac:dyDescent="0.3">
      <c r="B1083" s="7" t="s">
        <v>2744</v>
      </c>
      <c r="C1083" s="1" t="s">
        <v>2744</v>
      </c>
      <c r="D1083" s="8" t="s">
        <v>2744</v>
      </c>
      <c r="E1083" s="1" t="s">
        <v>2744</v>
      </c>
      <c r="F1083" s="1" t="s">
        <v>2744</v>
      </c>
      <c r="G1083" s="1" t="s">
        <v>2744</v>
      </c>
      <c r="H1083" s="1" t="s">
        <v>2744</v>
      </c>
      <c r="I1083" s="1" t="s">
        <v>2744</v>
      </c>
      <c r="J1083" s="1" t="s">
        <v>2744</v>
      </c>
      <c r="K1083" s="1" t="s">
        <v>2744</v>
      </c>
      <c r="L1083" s="1" t="s">
        <v>2744</v>
      </c>
      <c r="M1083" s="1" t="s">
        <v>2744</v>
      </c>
      <c r="N1083" s="1" t="s">
        <v>2744</v>
      </c>
      <c r="O1083" s="1" t="s">
        <v>2744</v>
      </c>
      <c r="P1083" s="1" t="s">
        <v>2744</v>
      </c>
      <c r="Q1083" s="1" t="s">
        <v>2744</v>
      </c>
      <c r="R1083" s="1" t="s">
        <v>2744</v>
      </c>
      <c r="S1083" s="1" t="s">
        <v>2744</v>
      </c>
      <c r="T1083" s="1" t="s">
        <v>2744</v>
      </c>
      <c r="U1083" s="1" t="s">
        <v>2744</v>
      </c>
      <c r="V1083" s="1" t="s">
        <v>2744</v>
      </c>
      <c r="W1083" s="1" t="s">
        <v>2744</v>
      </c>
      <c r="X1083" s="1" t="s">
        <v>2744</v>
      </c>
      <c r="Y1083" s="1" t="s">
        <v>2744</v>
      </c>
      <c r="Z1083" s="1" t="s">
        <v>2744</v>
      </c>
      <c r="AA1083" s="1" t="s">
        <v>2744</v>
      </c>
      <c r="AB1083" s="1" t="s">
        <v>2744</v>
      </c>
      <c r="AC1083" s="1" t="s">
        <v>2744</v>
      </c>
      <c r="AD1083" s="1" t="s">
        <v>2744</v>
      </c>
      <c r="AE1083" s="1" t="s">
        <v>2744</v>
      </c>
      <c r="AF1083" s="1" t="s">
        <v>2744</v>
      </c>
      <c r="AG1083" s="1" t="s">
        <v>2744</v>
      </c>
      <c r="AH1083" s="1" t="s">
        <v>2744</v>
      </c>
      <c r="AI1083" s="1" t="s">
        <v>2744</v>
      </c>
      <c r="AJ1083" s="1" t="s">
        <v>2744</v>
      </c>
      <c r="AK1083" s="1" t="s">
        <v>2744</v>
      </c>
      <c r="AL1083" s="1" t="s">
        <v>2744</v>
      </c>
      <c r="AM1083" s="1" t="s">
        <v>2744</v>
      </c>
      <c r="AN1083" s="1" t="s">
        <v>2744</v>
      </c>
    </row>
    <row r="1084" spans="2:40" ht="28" x14ac:dyDescent="0.3">
      <c r="B1084" s="19" t="s">
        <v>2968</v>
      </c>
      <c r="C1084" s="17" t="s">
        <v>3839</v>
      </c>
      <c r="D1084" s="16"/>
      <c r="E1084" s="2"/>
      <c r="F1084" s="2"/>
      <c r="G1084" s="2"/>
      <c r="H1084" s="2"/>
      <c r="I1084" s="2"/>
      <c r="J1084" s="2"/>
      <c r="K1084" s="3">
        <f>SUM(GMIC_22A_SCDPT1!SCDPT1_182BEGINNG_7:GMIC_22A_SCDPT1!SCDPT1_182ENDINGG_7)</f>
        <v>0</v>
      </c>
      <c r="L1084" s="2"/>
      <c r="M1084" s="3">
        <f>SUM(GMIC_22A_SCDPT1!SCDPT1_182BEGINNG_9:GMIC_22A_SCDPT1!SCDPT1_182ENDINGG_9)</f>
        <v>0</v>
      </c>
      <c r="N1084" s="3">
        <f>SUM(GMIC_22A_SCDPT1!SCDPT1_182BEGINNG_10:GMIC_22A_SCDPT1!SCDPT1_182ENDINGG_10)</f>
        <v>0</v>
      </c>
      <c r="O1084" s="3">
        <f>SUM(GMIC_22A_SCDPT1!SCDPT1_182BEGINNG_11:GMIC_22A_SCDPT1!SCDPT1_182ENDINGG_11)</f>
        <v>0</v>
      </c>
      <c r="P1084" s="3">
        <f>SUM(GMIC_22A_SCDPT1!SCDPT1_182BEGINNG_12:GMIC_22A_SCDPT1!SCDPT1_182ENDINGG_12)</f>
        <v>0</v>
      </c>
      <c r="Q1084" s="3">
        <f>SUM(GMIC_22A_SCDPT1!SCDPT1_182BEGINNG_13:GMIC_22A_SCDPT1!SCDPT1_182ENDINGG_13)</f>
        <v>0</v>
      </c>
      <c r="R1084" s="3">
        <f>SUM(GMIC_22A_SCDPT1!SCDPT1_182BEGINNG_14:GMIC_22A_SCDPT1!SCDPT1_182ENDINGG_14)</f>
        <v>0</v>
      </c>
      <c r="S1084" s="3">
        <f>SUM(GMIC_22A_SCDPT1!SCDPT1_182BEGINNG_15:GMIC_22A_SCDPT1!SCDPT1_182ENDINGG_15)</f>
        <v>0</v>
      </c>
      <c r="T1084" s="2"/>
      <c r="U1084" s="2"/>
      <c r="V1084" s="2"/>
      <c r="W1084" s="3">
        <f>SUM(GMIC_22A_SCDPT1!SCDPT1_182BEGINNG_19:GMIC_22A_SCDPT1!SCDPT1_182ENDINGG_19)</f>
        <v>0</v>
      </c>
      <c r="X1084" s="3">
        <f>SUM(GMIC_22A_SCDPT1!SCDPT1_182BEGINNG_20:GMIC_22A_SCDPT1!SCDPT1_182ENDINGG_20)</f>
        <v>0</v>
      </c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</row>
    <row r="1085" spans="2:40" ht="28" x14ac:dyDescent="0.3">
      <c r="B1085" s="19" t="s">
        <v>444</v>
      </c>
      <c r="C1085" s="17" t="s">
        <v>1047</v>
      </c>
      <c r="D1085" s="16"/>
      <c r="E1085" s="2"/>
      <c r="F1085" s="2"/>
      <c r="G1085" s="2"/>
      <c r="H1085" s="2"/>
      <c r="I1085" s="2"/>
      <c r="J1085" s="2"/>
      <c r="K1085" s="3">
        <f>GMIC_22A_SCDPT1!SCDPT1_1819999999_7+GMIC_22A_SCDPT1!SCDPT1_1829999999_7</f>
        <v>0</v>
      </c>
      <c r="L1085" s="2"/>
      <c r="M1085" s="3">
        <f>GMIC_22A_SCDPT1!SCDPT1_1819999999_9+GMIC_22A_SCDPT1!SCDPT1_1829999999_9</f>
        <v>0</v>
      </c>
      <c r="N1085" s="3">
        <f>GMIC_22A_SCDPT1!SCDPT1_1819999999_10+GMIC_22A_SCDPT1!SCDPT1_1829999999_10</f>
        <v>0</v>
      </c>
      <c r="O1085" s="3">
        <f>GMIC_22A_SCDPT1!SCDPT1_1819999999_11+GMIC_22A_SCDPT1!SCDPT1_1829999999_11</f>
        <v>0</v>
      </c>
      <c r="P1085" s="3">
        <f>GMIC_22A_SCDPT1!SCDPT1_1819999999_12+GMIC_22A_SCDPT1!SCDPT1_1829999999_12</f>
        <v>0</v>
      </c>
      <c r="Q1085" s="3">
        <f>GMIC_22A_SCDPT1!SCDPT1_1819999999_13+GMIC_22A_SCDPT1!SCDPT1_1829999999_13</f>
        <v>0</v>
      </c>
      <c r="R1085" s="3">
        <f>GMIC_22A_SCDPT1!SCDPT1_1819999999_14+GMIC_22A_SCDPT1!SCDPT1_1829999999_14</f>
        <v>0</v>
      </c>
      <c r="S1085" s="3">
        <f>GMIC_22A_SCDPT1!SCDPT1_1819999999_15+GMIC_22A_SCDPT1!SCDPT1_1829999999_15</f>
        <v>0</v>
      </c>
      <c r="T1085" s="2"/>
      <c r="U1085" s="2"/>
      <c r="V1085" s="2"/>
      <c r="W1085" s="3">
        <f>GMIC_22A_SCDPT1!SCDPT1_1819999999_19+GMIC_22A_SCDPT1!SCDPT1_1829999999_19</f>
        <v>0</v>
      </c>
      <c r="X1085" s="3">
        <f>GMIC_22A_SCDPT1!SCDPT1_1819999999_20+GMIC_22A_SCDPT1!SCDPT1_1829999999_20</f>
        <v>0</v>
      </c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</row>
    <row r="1086" spans="2:40" x14ac:dyDescent="0.3">
      <c r="B1086" s="7" t="s">
        <v>2744</v>
      </c>
      <c r="C1086" s="1" t="s">
        <v>2744</v>
      </c>
      <c r="D1086" s="8" t="s">
        <v>2744</v>
      </c>
      <c r="E1086" s="1" t="s">
        <v>2744</v>
      </c>
      <c r="F1086" s="1" t="s">
        <v>2744</v>
      </c>
      <c r="G1086" s="1" t="s">
        <v>2744</v>
      </c>
      <c r="H1086" s="1" t="s">
        <v>2744</v>
      </c>
      <c r="I1086" s="1" t="s">
        <v>2744</v>
      </c>
      <c r="J1086" s="1" t="s">
        <v>2744</v>
      </c>
      <c r="K1086" s="1" t="s">
        <v>2744</v>
      </c>
      <c r="L1086" s="1" t="s">
        <v>2744</v>
      </c>
      <c r="M1086" s="1" t="s">
        <v>2744</v>
      </c>
      <c r="N1086" s="1" t="s">
        <v>2744</v>
      </c>
      <c r="O1086" s="1" t="s">
        <v>2744</v>
      </c>
      <c r="P1086" s="1" t="s">
        <v>2744</v>
      </c>
      <c r="Q1086" s="1" t="s">
        <v>2744</v>
      </c>
      <c r="R1086" s="1" t="s">
        <v>2744</v>
      </c>
      <c r="S1086" s="1" t="s">
        <v>2744</v>
      </c>
      <c r="T1086" s="1" t="s">
        <v>2744</v>
      </c>
      <c r="U1086" s="1" t="s">
        <v>2744</v>
      </c>
      <c r="V1086" s="1" t="s">
        <v>2744</v>
      </c>
      <c r="W1086" s="1" t="s">
        <v>2744</v>
      </c>
      <c r="X1086" s="1" t="s">
        <v>2744</v>
      </c>
      <c r="Y1086" s="1" t="s">
        <v>2744</v>
      </c>
      <c r="Z1086" s="1" t="s">
        <v>2744</v>
      </c>
      <c r="AA1086" s="1" t="s">
        <v>2744</v>
      </c>
      <c r="AB1086" s="1" t="s">
        <v>2744</v>
      </c>
      <c r="AC1086" s="1" t="s">
        <v>2744</v>
      </c>
      <c r="AD1086" s="1" t="s">
        <v>2744</v>
      </c>
      <c r="AE1086" s="1" t="s">
        <v>2744</v>
      </c>
      <c r="AF1086" s="1" t="s">
        <v>2744</v>
      </c>
      <c r="AG1086" s="1" t="s">
        <v>2744</v>
      </c>
      <c r="AH1086" s="1" t="s">
        <v>2744</v>
      </c>
      <c r="AI1086" s="1" t="s">
        <v>2744</v>
      </c>
      <c r="AJ1086" s="1" t="s">
        <v>2744</v>
      </c>
      <c r="AK1086" s="1" t="s">
        <v>2744</v>
      </c>
      <c r="AL1086" s="1" t="s">
        <v>2744</v>
      </c>
      <c r="AM1086" s="1" t="s">
        <v>2744</v>
      </c>
      <c r="AN1086" s="1" t="s">
        <v>2744</v>
      </c>
    </row>
    <row r="1087" spans="2:40" x14ac:dyDescent="0.3">
      <c r="B1087" s="18" t="s">
        <v>445</v>
      </c>
      <c r="C1087" s="25" t="s">
        <v>3897</v>
      </c>
      <c r="D1087" s="15" t="s">
        <v>2</v>
      </c>
      <c r="E1087" s="37" t="s">
        <v>2</v>
      </c>
      <c r="F1087" s="20" t="s">
        <v>2</v>
      </c>
      <c r="G1087" s="40" t="s">
        <v>2</v>
      </c>
      <c r="H1087" s="32" t="s">
        <v>2</v>
      </c>
      <c r="I1087" s="33" t="s">
        <v>2</v>
      </c>
      <c r="J1087" s="38" t="s">
        <v>2</v>
      </c>
      <c r="K1087" s="4"/>
      <c r="L1087" s="41"/>
      <c r="M1087" s="4"/>
      <c r="N1087" s="4"/>
      <c r="O1087" s="4"/>
      <c r="P1087" s="4"/>
      <c r="Q1087" s="4"/>
      <c r="R1087" s="4"/>
      <c r="S1087" s="4"/>
      <c r="T1087" s="23"/>
      <c r="U1087" s="23"/>
      <c r="V1087" s="5" t="s">
        <v>2</v>
      </c>
      <c r="W1087" s="4"/>
      <c r="X1087" s="4"/>
      <c r="Y1087" s="6"/>
      <c r="Z1087" s="6"/>
      <c r="AA1087" s="2"/>
      <c r="AB1087" s="31" t="s">
        <v>2</v>
      </c>
      <c r="AC1087" s="5" t="s">
        <v>2</v>
      </c>
      <c r="AD1087" s="2"/>
      <c r="AE1087" s="6"/>
      <c r="AF1087" s="23"/>
      <c r="AG1087" s="6"/>
      <c r="AH1087" s="5" t="s">
        <v>2</v>
      </c>
      <c r="AI1087" s="5" t="s">
        <v>2</v>
      </c>
      <c r="AJ1087" s="5" t="s">
        <v>2</v>
      </c>
      <c r="AK1087" s="21" t="s">
        <v>2</v>
      </c>
      <c r="AL1087" s="39" t="s">
        <v>2</v>
      </c>
      <c r="AM1087" s="26" t="s">
        <v>2</v>
      </c>
      <c r="AN1087" s="34" t="s">
        <v>2</v>
      </c>
    </row>
    <row r="1088" spans="2:40" x14ac:dyDescent="0.3">
      <c r="B1088" s="7" t="s">
        <v>2744</v>
      </c>
      <c r="C1088" s="1" t="s">
        <v>2744</v>
      </c>
      <c r="D1088" s="8" t="s">
        <v>2744</v>
      </c>
      <c r="E1088" s="1" t="s">
        <v>2744</v>
      </c>
      <c r="F1088" s="1" t="s">
        <v>2744</v>
      </c>
      <c r="G1088" s="1" t="s">
        <v>2744</v>
      </c>
      <c r="H1088" s="1" t="s">
        <v>2744</v>
      </c>
      <c r="I1088" s="1" t="s">
        <v>2744</v>
      </c>
      <c r="J1088" s="1" t="s">
        <v>2744</v>
      </c>
      <c r="K1088" s="1" t="s">
        <v>2744</v>
      </c>
      <c r="L1088" s="1" t="s">
        <v>2744</v>
      </c>
      <c r="M1088" s="1" t="s">
        <v>2744</v>
      </c>
      <c r="N1088" s="1" t="s">
        <v>2744</v>
      </c>
      <c r="O1088" s="1" t="s">
        <v>2744</v>
      </c>
      <c r="P1088" s="1" t="s">
        <v>2744</v>
      </c>
      <c r="Q1088" s="1" t="s">
        <v>2744</v>
      </c>
      <c r="R1088" s="1" t="s">
        <v>2744</v>
      </c>
      <c r="S1088" s="1" t="s">
        <v>2744</v>
      </c>
      <c r="T1088" s="1" t="s">
        <v>2744</v>
      </c>
      <c r="U1088" s="1" t="s">
        <v>2744</v>
      </c>
      <c r="V1088" s="1" t="s">
        <v>2744</v>
      </c>
      <c r="W1088" s="1" t="s">
        <v>2744</v>
      </c>
      <c r="X1088" s="1" t="s">
        <v>2744</v>
      </c>
      <c r="Y1088" s="1" t="s">
        <v>2744</v>
      </c>
      <c r="Z1088" s="1" t="s">
        <v>2744</v>
      </c>
      <c r="AA1088" s="1" t="s">
        <v>2744</v>
      </c>
      <c r="AB1088" s="1" t="s">
        <v>2744</v>
      </c>
      <c r="AC1088" s="1" t="s">
        <v>2744</v>
      </c>
      <c r="AD1088" s="1" t="s">
        <v>2744</v>
      </c>
      <c r="AE1088" s="1" t="s">
        <v>2744</v>
      </c>
      <c r="AF1088" s="1" t="s">
        <v>2744</v>
      </c>
      <c r="AG1088" s="1" t="s">
        <v>2744</v>
      </c>
      <c r="AH1088" s="1" t="s">
        <v>2744</v>
      </c>
      <c r="AI1088" s="1" t="s">
        <v>2744</v>
      </c>
      <c r="AJ1088" s="1" t="s">
        <v>2744</v>
      </c>
      <c r="AK1088" s="1" t="s">
        <v>2744</v>
      </c>
      <c r="AL1088" s="1" t="s">
        <v>2744</v>
      </c>
      <c r="AM1088" s="1" t="s">
        <v>2744</v>
      </c>
      <c r="AN1088" s="1" t="s">
        <v>2744</v>
      </c>
    </row>
    <row r="1089" spans="2:40" ht="28" x14ac:dyDescent="0.3">
      <c r="B1089" s="19" t="s">
        <v>1338</v>
      </c>
      <c r="C1089" s="17" t="s">
        <v>698</v>
      </c>
      <c r="D1089" s="16"/>
      <c r="E1089" s="2"/>
      <c r="F1089" s="2"/>
      <c r="G1089" s="2"/>
      <c r="H1089" s="2"/>
      <c r="I1089" s="2"/>
      <c r="J1089" s="2"/>
      <c r="K1089" s="3">
        <f>SUM(GMIC_22A_SCDPT1!SCDPT1_201BEGINNG_7:GMIC_22A_SCDPT1!SCDPT1_201ENDINGG_7)</f>
        <v>0</v>
      </c>
      <c r="L1089" s="2"/>
      <c r="M1089" s="3">
        <f>SUM(GMIC_22A_SCDPT1!SCDPT1_201BEGINNG_9:GMIC_22A_SCDPT1!SCDPT1_201ENDINGG_9)</f>
        <v>0</v>
      </c>
      <c r="N1089" s="3">
        <f>SUM(GMIC_22A_SCDPT1!SCDPT1_201BEGINNG_10:GMIC_22A_SCDPT1!SCDPT1_201ENDINGG_10)</f>
        <v>0</v>
      </c>
      <c r="O1089" s="3">
        <f>SUM(GMIC_22A_SCDPT1!SCDPT1_201BEGINNG_11:GMIC_22A_SCDPT1!SCDPT1_201ENDINGG_11)</f>
        <v>0</v>
      </c>
      <c r="P1089" s="3">
        <f>SUM(GMIC_22A_SCDPT1!SCDPT1_201BEGINNG_12:GMIC_22A_SCDPT1!SCDPT1_201ENDINGG_12)</f>
        <v>0</v>
      </c>
      <c r="Q1089" s="3">
        <f>SUM(GMIC_22A_SCDPT1!SCDPT1_201BEGINNG_13:GMIC_22A_SCDPT1!SCDPT1_201ENDINGG_13)</f>
        <v>0</v>
      </c>
      <c r="R1089" s="3">
        <f>SUM(GMIC_22A_SCDPT1!SCDPT1_201BEGINNG_14:GMIC_22A_SCDPT1!SCDPT1_201ENDINGG_14)</f>
        <v>0</v>
      </c>
      <c r="S1089" s="3">
        <f>SUM(GMIC_22A_SCDPT1!SCDPT1_201BEGINNG_15:GMIC_22A_SCDPT1!SCDPT1_201ENDINGG_15)</f>
        <v>0</v>
      </c>
      <c r="T1089" s="2"/>
      <c r="U1089" s="2"/>
      <c r="V1089" s="2"/>
      <c r="W1089" s="3">
        <f>SUM(GMIC_22A_SCDPT1!SCDPT1_201BEGINNG_19:GMIC_22A_SCDPT1!SCDPT1_201ENDINGG_19)</f>
        <v>0</v>
      </c>
      <c r="X1089" s="3">
        <f>SUM(GMIC_22A_SCDPT1!SCDPT1_201BEGINNG_20:GMIC_22A_SCDPT1!SCDPT1_201ENDINGG_20)</f>
        <v>0</v>
      </c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</row>
    <row r="1090" spans="2:40" x14ac:dyDescent="0.3">
      <c r="B1090" s="19" t="s">
        <v>2468</v>
      </c>
      <c r="C1090" s="17" t="s">
        <v>4445</v>
      </c>
      <c r="D1090" s="16"/>
      <c r="E1090" s="2"/>
      <c r="F1090" s="2"/>
      <c r="G1090" s="2"/>
      <c r="H1090" s="2"/>
      <c r="I1090" s="2"/>
      <c r="J1090" s="2"/>
      <c r="K1090" s="3">
        <f>GMIC_22A_SCDPT1!SCDPT1_0019999999_7+GMIC_22A_SCDPT1!SCDPT1_0219999999_7+GMIC_22A_SCDPT1!SCDPT1_0419999999_7+GMIC_22A_SCDPT1!SCDPT1_0619999999_7+GMIC_22A_SCDPT1!SCDPT1_0819999999_7+GMIC_22A_SCDPT1!SCDPT1_1019999999_7+GMIC_22A_SCDPT1!SCDPT1_1219999999_7+GMIC_22A_SCDPT1!SCDPT1_1419999999_7</f>
        <v>3975652084</v>
      </c>
      <c r="L1090" s="2"/>
      <c r="M1090" s="3">
        <f>GMIC_22A_SCDPT1!SCDPT1_0019999999_9+GMIC_22A_SCDPT1!SCDPT1_0219999999_9+GMIC_22A_SCDPT1!SCDPT1_0419999999_9+GMIC_22A_SCDPT1!SCDPT1_0619999999_9+GMIC_22A_SCDPT1!SCDPT1_0819999999_9+GMIC_22A_SCDPT1!SCDPT1_1019999999_9+GMIC_22A_SCDPT1!SCDPT1_1219999999_9+GMIC_22A_SCDPT1!SCDPT1_1419999999_9</f>
        <v>3584505042</v>
      </c>
      <c r="N1090" s="3">
        <f>GMIC_22A_SCDPT1!SCDPT1_0019999999_10+GMIC_22A_SCDPT1!SCDPT1_0219999999_10+GMIC_22A_SCDPT1!SCDPT1_0419999999_10+GMIC_22A_SCDPT1!SCDPT1_0619999999_10+GMIC_22A_SCDPT1!SCDPT1_0819999999_10+GMIC_22A_SCDPT1!SCDPT1_1019999999_10+GMIC_22A_SCDPT1!SCDPT1_1219999999_10+GMIC_22A_SCDPT1!SCDPT1_1419999999_10</f>
        <v>3986765902</v>
      </c>
      <c r="O1090" s="3">
        <f>GMIC_22A_SCDPT1!SCDPT1_0019999999_11+GMIC_22A_SCDPT1!SCDPT1_0219999999_11+GMIC_22A_SCDPT1!SCDPT1_0419999999_11+GMIC_22A_SCDPT1!SCDPT1_0619999999_11+GMIC_22A_SCDPT1!SCDPT1_0819999999_11+GMIC_22A_SCDPT1!SCDPT1_1019999999_11+GMIC_22A_SCDPT1!SCDPT1_1219999999_11+GMIC_22A_SCDPT1!SCDPT1_1419999999_11</f>
        <v>3963265289</v>
      </c>
      <c r="P1090" s="3">
        <f>GMIC_22A_SCDPT1!SCDPT1_0019999999_12+GMIC_22A_SCDPT1!SCDPT1_0219999999_12+GMIC_22A_SCDPT1!SCDPT1_0419999999_12+GMIC_22A_SCDPT1!SCDPT1_0619999999_12+GMIC_22A_SCDPT1!SCDPT1_0819999999_12+GMIC_22A_SCDPT1!SCDPT1_1019999999_12+GMIC_22A_SCDPT1!SCDPT1_1219999999_12+GMIC_22A_SCDPT1!SCDPT1_1419999999_12</f>
        <v>-15522228</v>
      </c>
      <c r="Q1090" s="3">
        <f>GMIC_22A_SCDPT1!SCDPT1_0019999999_13+GMIC_22A_SCDPT1!SCDPT1_0219999999_13+GMIC_22A_SCDPT1!SCDPT1_0419999999_13+GMIC_22A_SCDPT1!SCDPT1_0619999999_13+GMIC_22A_SCDPT1!SCDPT1_0819999999_13+GMIC_22A_SCDPT1!SCDPT1_1019999999_13+GMIC_22A_SCDPT1!SCDPT1_1219999999_13+GMIC_22A_SCDPT1!SCDPT1_1419999999_13</f>
        <v>-564968</v>
      </c>
      <c r="R1090" s="3">
        <f>GMIC_22A_SCDPT1!SCDPT1_0019999999_14+GMIC_22A_SCDPT1!SCDPT1_0219999999_14+GMIC_22A_SCDPT1!SCDPT1_0419999999_14+GMIC_22A_SCDPT1!SCDPT1_0619999999_14+GMIC_22A_SCDPT1!SCDPT1_0819999999_14+GMIC_22A_SCDPT1!SCDPT1_1019999999_14+GMIC_22A_SCDPT1!SCDPT1_1219999999_14+GMIC_22A_SCDPT1!SCDPT1_1419999999_14</f>
        <v>0</v>
      </c>
      <c r="S1090" s="3">
        <f>GMIC_22A_SCDPT1!SCDPT1_0019999999_15+GMIC_22A_SCDPT1!SCDPT1_0219999999_15+GMIC_22A_SCDPT1!SCDPT1_0419999999_15+GMIC_22A_SCDPT1!SCDPT1_0619999999_15+GMIC_22A_SCDPT1!SCDPT1_0819999999_15+GMIC_22A_SCDPT1!SCDPT1_1019999999_15+GMIC_22A_SCDPT1!SCDPT1_1219999999_15+GMIC_22A_SCDPT1!SCDPT1_1419999999_15</f>
        <v>0</v>
      </c>
      <c r="T1090" s="2"/>
      <c r="U1090" s="2"/>
      <c r="V1090" s="2"/>
      <c r="W1090" s="3">
        <f>GMIC_22A_SCDPT1!SCDPT1_0019999999_19+GMIC_22A_SCDPT1!SCDPT1_0219999999_19+GMIC_22A_SCDPT1!SCDPT1_0419999999_19+GMIC_22A_SCDPT1!SCDPT1_0619999999_19+GMIC_22A_SCDPT1!SCDPT1_0819999999_19+GMIC_22A_SCDPT1!SCDPT1_1019999999_19+GMIC_22A_SCDPT1!SCDPT1_1219999999_19+GMIC_22A_SCDPT1!SCDPT1_1419999999_19</f>
        <v>29760779</v>
      </c>
      <c r="X1090" s="3">
        <f>GMIC_22A_SCDPT1!SCDPT1_0019999999_20+GMIC_22A_SCDPT1!SCDPT1_0219999999_20+GMIC_22A_SCDPT1!SCDPT1_0419999999_20+GMIC_22A_SCDPT1!SCDPT1_0619999999_20+GMIC_22A_SCDPT1!SCDPT1_0819999999_20+GMIC_22A_SCDPT1!SCDPT1_1019999999_20+GMIC_22A_SCDPT1!SCDPT1_1219999999_20+GMIC_22A_SCDPT1!SCDPT1_1419999999_20</f>
        <v>98729480</v>
      </c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</row>
    <row r="1091" spans="2:40" ht="28" x14ac:dyDescent="0.3">
      <c r="B1091" s="19" t="s">
        <v>1569</v>
      </c>
      <c r="C1091" s="17" t="s">
        <v>3840</v>
      </c>
      <c r="D1091" s="16"/>
      <c r="E1091" s="2"/>
      <c r="F1091" s="2"/>
      <c r="G1091" s="2"/>
      <c r="H1091" s="2"/>
      <c r="I1091" s="2"/>
      <c r="J1091" s="2"/>
      <c r="K1091" s="3">
        <f>GMIC_22A_SCDPT1!SCDPT1_0029999999_7+GMIC_22A_SCDPT1!SCDPT1_0229999999_7+GMIC_22A_SCDPT1!SCDPT1_0429999999_7+GMIC_22A_SCDPT1!SCDPT1_0629999999_7+GMIC_22A_SCDPT1!SCDPT1_0829999999_7+GMIC_22A_SCDPT1!SCDPT1_1029999999_7+GMIC_22A_SCDPT1!SCDPT1_1229999999_7+GMIC_22A_SCDPT1!SCDPT1_1429999999_7</f>
        <v>0</v>
      </c>
      <c r="L1091" s="2"/>
      <c r="M1091" s="3">
        <f>GMIC_22A_SCDPT1!SCDPT1_0029999999_9+GMIC_22A_SCDPT1!SCDPT1_0229999999_9+GMIC_22A_SCDPT1!SCDPT1_0429999999_9+GMIC_22A_SCDPT1!SCDPT1_0629999999_9+GMIC_22A_SCDPT1!SCDPT1_0829999999_9+GMIC_22A_SCDPT1!SCDPT1_1029999999_9+GMIC_22A_SCDPT1!SCDPT1_1229999999_9+GMIC_22A_SCDPT1!SCDPT1_1429999999_9</f>
        <v>0</v>
      </c>
      <c r="N1091" s="3">
        <f>GMIC_22A_SCDPT1!SCDPT1_0029999999_10+GMIC_22A_SCDPT1!SCDPT1_0229999999_10+GMIC_22A_SCDPT1!SCDPT1_0429999999_10+GMIC_22A_SCDPT1!SCDPT1_0629999999_10+GMIC_22A_SCDPT1!SCDPT1_0829999999_10+GMIC_22A_SCDPT1!SCDPT1_1029999999_10+GMIC_22A_SCDPT1!SCDPT1_1229999999_10+GMIC_22A_SCDPT1!SCDPT1_1429999999_10</f>
        <v>0</v>
      </c>
      <c r="O1091" s="3">
        <f>GMIC_22A_SCDPT1!SCDPT1_0029999999_11+GMIC_22A_SCDPT1!SCDPT1_0229999999_11+GMIC_22A_SCDPT1!SCDPT1_0429999999_11+GMIC_22A_SCDPT1!SCDPT1_0629999999_11+GMIC_22A_SCDPT1!SCDPT1_0829999999_11+GMIC_22A_SCDPT1!SCDPT1_1029999999_11+GMIC_22A_SCDPT1!SCDPT1_1229999999_11+GMIC_22A_SCDPT1!SCDPT1_1429999999_11</f>
        <v>0</v>
      </c>
      <c r="P1091" s="3">
        <f>GMIC_22A_SCDPT1!SCDPT1_0029999999_12+GMIC_22A_SCDPT1!SCDPT1_0229999999_12+GMIC_22A_SCDPT1!SCDPT1_0429999999_12+GMIC_22A_SCDPT1!SCDPT1_0629999999_12+GMIC_22A_SCDPT1!SCDPT1_0829999999_12+GMIC_22A_SCDPT1!SCDPT1_1029999999_12+GMIC_22A_SCDPT1!SCDPT1_1229999999_12+GMIC_22A_SCDPT1!SCDPT1_1429999999_12</f>
        <v>0</v>
      </c>
      <c r="Q1091" s="3">
        <f>GMIC_22A_SCDPT1!SCDPT1_0029999999_13+GMIC_22A_SCDPT1!SCDPT1_0229999999_13+GMIC_22A_SCDPT1!SCDPT1_0429999999_13+GMIC_22A_SCDPT1!SCDPT1_0629999999_13+GMIC_22A_SCDPT1!SCDPT1_0829999999_13+GMIC_22A_SCDPT1!SCDPT1_1029999999_13+GMIC_22A_SCDPT1!SCDPT1_1229999999_13+GMIC_22A_SCDPT1!SCDPT1_1429999999_13</f>
        <v>0</v>
      </c>
      <c r="R1091" s="3">
        <f>GMIC_22A_SCDPT1!SCDPT1_0029999999_14+GMIC_22A_SCDPT1!SCDPT1_0229999999_14+GMIC_22A_SCDPT1!SCDPT1_0429999999_14+GMIC_22A_SCDPT1!SCDPT1_0629999999_14+GMIC_22A_SCDPT1!SCDPT1_0829999999_14+GMIC_22A_SCDPT1!SCDPT1_1029999999_14+GMIC_22A_SCDPT1!SCDPT1_1229999999_14+GMIC_22A_SCDPT1!SCDPT1_1429999999_14</f>
        <v>0</v>
      </c>
      <c r="S1091" s="3">
        <f>GMIC_22A_SCDPT1!SCDPT1_0029999999_15+GMIC_22A_SCDPT1!SCDPT1_0229999999_15+GMIC_22A_SCDPT1!SCDPT1_0429999999_15+GMIC_22A_SCDPT1!SCDPT1_0629999999_15+GMIC_22A_SCDPT1!SCDPT1_0829999999_15+GMIC_22A_SCDPT1!SCDPT1_1029999999_15+GMIC_22A_SCDPT1!SCDPT1_1229999999_15+GMIC_22A_SCDPT1!SCDPT1_1429999999_15</f>
        <v>0</v>
      </c>
      <c r="T1091" s="2"/>
      <c r="U1091" s="2"/>
      <c r="V1091" s="2"/>
      <c r="W1091" s="3">
        <f>GMIC_22A_SCDPT1!SCDPT1_0029999999_19+GMIC_22A_SCDPT1!SCDPT1_0229999999_19+GMIC_22A_SCDPT1!SCDPT1_0429999999_19+GMIC_22A_SCDPT1!SCDPT1_0629999999_19+GMIC_22A_SCDPT1!SCDPT1_0829999999_19+GMIC_22A_SCDPT1!SCDPT1_1029999999_19+GMIC_22A_SCDPT1!SCDPT1_1229999999_19+GMIC_22A_SCDPT1!SCDPT1_1429999999_19</f>
        <v>0</v>
      </c>
      <c r="X1091" s="3">
        <f>GMIC_22A_SCDPT1!SCDPT1_0029999999_20+GMIC_22A_SCDPT1!SCDPT1_0229999999_20+GMIC_22A_SCDPT1!SCDPT1_0429999999_20+GMIC_22A_SCDPT1!SCDPT1_0629999999_20+GMIC_22A_SCDPT1!SCDPT1_0829999999_20+GMIC_22A_SCDPT1!SCDPT1_1029999999_20+GMIC_22A_SCDPT1!SCDPT1_1229999999_20+GMIC_22A_SCDPT1!SCDPT1_1429999999_20</f>
        <v>0</v>
      </c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</row>
    <row r="1092" spans="2:40" ht="28" x14ac:dyDescent="0.3">
      <c r="B1092" s="19" t="s">
        <v>699</v>
      </c>
      <c r="C1092" s="17" t="s">
        <v>1838</v>
      </c>
      <c r="D1092" s="16"/>
      <c r="E1092" s="2"/>
      <c r="F1092" s="2"/>
      <c r="G1092" s="2"/>
      <c r="H1092" s="2"/>
      <c r="I1092" s="2"/>
      <c r="J1092" s="2"/>
      <c r="K1092" s="3">
        <f>GMIC_22A_SCDPT1!SCDPT1_0039999999_7+GMIC_22A_SCDPT1!SCDPT1_0239999999_7+GMIC_22A_SCDPT1!SCDPT1_0439999999_7+GMIC_22A_SCDPT1!SCDPT1_0639999999_7+GMIC_22A_SCDPT1!SCDPT1_0839999999_7+GMIC_22A_SCDPT1!SCDPT1_1039999999_7+GMIC_22A_SCDPT1!SCDPT1_1239999999_7+GMIC_22A_SCDPT1!SCDPT1_1439999999_7</f>
        <v>0</v>
      </c>
      <c r="L1092" s="2"/>
      <c r="M1092" s="3">
        <f>GMIC_22A_SCDPT1!SCDPT1_0039999999_9+GMIC_22A_SCDPT1!SCDPT1_0239999999_9+GMIC_22A_SCDPT1!SCDPT1_0439999999_9+GMIC_22A_SCDPT1!SCDPT1_0639999999_9+GMIC_22A_SCDPT1!SCDPT1_0839999999_9+GMIC_22A_SCDPT1!SCDPT1_1039999999_9+GMIC_22A_SCDPT1!SCDPT1_1239999999_9+GMIC_22A_SCDPT1!SCDPT1_1439999999_9</f>
        <v>0</v>
      </c>
      <c r="N1092" s="3">
        <f>GMIC_22A_SCDPT1!SCDPT1_0039999999_10+GMIC_22A_SCDPT1!SCDPT1_0239999999_10+GMIC_22A_SCDPT1!SCDPT1_0439999999_10+GMIC_22A_SCDPT1!SCDPT1_0639999999_10+GMIC_22A_SCDPT1!SCDPT1_0839999999_10+GMIC_22A_SCDPT1!SCDPT1_1039999999_10+GMIC_22A_SCDPT1!SCDPT1_1239999999_10+GMIC_22A_SCDPT1!SCDPT1_1439999999_10</f>
        <v>0</v>
      </c>
      <c r="O1092" s="3">
        <f>GMIC_22A_SCDPT1!SCDPT1_0039999999_11+GMIC_22A_SCDPT1!SCDPT1_0239999999_11+GMIC_22A_SCDPT1!SCDPT1_0439999999_11+GMIC_22A_SCDPT1!SCDPT1_0639999999_11+GMIC_22A_SCDPT1!SCDPT1_0839999999_11+GMIC_22A_SCDPT1!SCDPT1_1039999999_11+GMIC_22A_SCDPT1!SCDPT1_1239999999_11+GMIC_22A_SCDPT1!SCDPT1_1439999999_11</f>
        <v>0</v>
      </c>
      <c r="P1092" s="3">
        <f>GMIC_22A_SCDPT1!SCDPT1_0039999999_12+GMIC_22A_SCDPT1!SCDPT1_0239999999_12+GMIC_22A_SCDPT1!SCDPT1_0439999999_12+GMIC_22A_SCDPT1!SCDPT1_0639999999_12+GMIC_22A_SCDPT1!SCDPT1_0839999999_12+GMIC_22A_SCDPT1!SCDPT1_1039999999_12+GMIC_22A_SCDPT1!SCDPT1_1239999999_12+GMIC_22A_SCDPT1!SCDPT1_1439999999_12</f>
        <v>0</v>
      </c>
      <c r="Q1092" s="3">
        <f>GMIC_22A_SCDPT1!SCDPT1_0039999999_13+GMIC_22A_SCDPT1!SCDPT1_0239999999_13+GMIC_22A_SCDPT1!SCDPT1_0439999999_13+GMIC_22A_SCDPT1!SCDPT1_0639999999_13+GMIC_22A_SCDPT1!SCDPT1_0839999999_13+GMIC_22A_SCDPT1!SCDPT1_1039999999_13+GMIC_22A_SCDPT1!SCDPT1_1239999999_13+GMIC_22A_SCDPT1!SCDPT1_1439999999_13</f>
        <v>0</v>
      </c>
      <c r="R1092" s="3">
        <f>GMIC_22A_SCDPT1!SCDPT1_0039999999_14+GMIC_22A_SCDPT1!SCDPT1_0239999999_14+GMIC_22A_SCDPT1!SCDPT1_0439999999_14+GMIC_22A_SCDPT1!SCDPT1_0639999999_14+GMIC_22A_SCDPT1!SCDPT1_0839999999_14+GMIC_22A_SCDPT1!SCDPT1_1039999999_14+GMIC_22A_SCDPT1!SCDPT1_1239999999_14+GMIC_22A_SCDPT1!SCDPT1_1439999999_14</f>
        <v>0</v>
      </c>
      <c r="S1092" s="3">
        <f>GMIC_22A_SCDPT1!SCDPT1_0039999999_15+GMIC_22A_SCDPT1!SCDPT1_0239999999_15+GMIC_22A_SCDPT1!SCDPT1_0439999999_15+GMIC_22A_SCDPT1!SCDPT1_0639999999_15+GMIC_22A_SCDPT1!SCDPT1_0839999999_15+GMIC_22A_SCDPT1!SCDPT1_1039999999_15+GMIC_22A_SCDPT1!SCDPT1_1239999999_15+GMIC_22A_SCDPT1!SCDPT1_1439999999_15</f>
        <v>0</v>
      </c>
      <c r="T1092" s="2"/>
      <c r="U1092" s="2"/>
      <c r="V1092" s="2"/>
      <c r="W1092" s="3">
        <f>GMIC_22A_SCDPT1!SCDPT1_0039999999_19+GMIC_22A_SCDPT1!SCDPT1_0239999999_19+GMIC_22A_SCDPT1!SCDPT1_0439999999_19+GMIC_22A_SCDPT1!SCDPT1_0639999999_19+GMIC_22A_SCDPT1!SCDPT1_0839999999_19+GMIC_22A_SCDPT1!SCDPT1_1039999999_19+GMIC_22A_SCDPT1!SCDPT1_1239999999_19+GMIC_22A_SCDPT1!SCDPT1_1439999999_19</f>
        <v>0</v>
      </c>
      <c r="X1092" s="3">
        <f>GMIC_22A_SCDPT1!SCDPT1_0039999999_20+GMIC_22A_SCDPT1!SCDPT1_0239999999_20+GMIC_22A_SCDPT1!SCDPT1_0439999999_20+GMIC_22A_SCDPT1!SCDPT1_0639999999_20+GMIC_22A_SCDPT1!SCDPT1_0839999999_20+GMIC_22A_SCDPT1!SCDPT1_1039999999_20+GMIC_22A_SCDPT1!SCDPT1_1239999999_20+GMIC_22A_SCDPT1!SCDPT1_1439999999_20</f>
        <v>0</v>
      </c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</row>
    <row r="1093" spans="2:40" ht="28" x14ac:dyDescent="0.3">
      <c r="B1093" s="19" t="s">
        <v>4446</v>
      </c>
      <c r="C1093" s="17" t="s">
        <v>2169</v>
      </c>
      <c r="D1093" s="16"/>
      <c r="E1093" s="2"/>
      <c r="F1093" s="2"/>
      <c r="G1093" s="2"/>
      <c r="H1093" s="2"/>
      <c r="I1093" s="2"/>
      <c r="J1093" s="2"/>
      <c r="K1093" s="3">
        <f>GMIC_22A_SCDPT1!SCDPT1_0049999999_7+GMIC_22A_SCDPT1!SCDPT1_0249999999_7+GMIC_22A_SCDPT1!SCDPT1_0449999999_7+GMIC_22A_SCDPT1!SCDPT1_0649999999_7+GMIC_22A_SCDPT1!SCDPT1_0849999999_7+GMIC_22A_SCDPT1!SCDPT1_1049999999_7+GMIC_22A_SCDPT1!SCDPT1_1249999999_7+GMIC_22A_SCDPT1!SCDPT1_1449999999_7</f>
        <v>1092443451</v>
      </c>
      <c r="L1093" s="2"/>
      <c r="M1093" s="3">
        <f>GMIC_22A_SCDPT1!SCDPT1_0049999999_9+GMIC_22A_SCDPT1!SCDPT1_0249999999_9+GMIC_22A_SCDPT1!SCDPT1_0449999999_9+GMIC_22A_SCDPT1!SCDPT1_0649999999_9+GMIC_22A_SCDPT1!SCDPT1_0849999999_9+GMIC_22A_SCDPT1!SCDPT1_1049999999_9+GMIC_22A_SCDPT1!SCDPT1_1249999999_9+GMIC_22A_SCDPT1!SCDPT1_1449999999_9</f>
        <v>1006039504</v>
      </c>
      <c r="N1093" s="3">
        <f>GMIC_22A_SCDPT1!SCDPT1_0049999999_10+GMIC_22A_SCDPT1!SCDPT1_0249999999_10+GMIC_22A_SCDPT1!SCDPT1_0449999999_10+GMIC_22A_SCDPT1!SCDPT1_0649999999_10+GMIC_22A_SCDPT1!SCDPT1_0849999999_10+GMIC_22A_SCDPT1!SCDPT1_1049999999_10+GMIC_22A_SCDPT1!SCDPT1_1249999999_10+GMIC_22A_SCDPT1!SCDPT1_1449999999_10</f>
        <v>1092708716</v>
      </c>
      <c r="O1093" s="3">
        <f>GMIC_22A_SCDPT1!SCDPT1_0049999999_11+GMIC_22A_SCDPT1!SCDPT1_0249999999_11+GMIC_22A_SCDPT1!SCDPT1_0449999999_11+GMIC_22A_SCDPT1!SCDPT1_0649999999_11+GMIC_22A_SCDPT1!SCDPT1_0849999999_11+GMIC_22A_SCDPT1!SCDPT1_1049999999_11+GMIC_22A_SCDPT1!SCDPT1_1249999999_11+GMIC_22A_SCDPT1!SCDPT1_1449999999_11</f>
        <v>1092531339</v>
      </c>
      <c r="P1093" s="3">
        <f>GMIC_22A_SCDPT1!SCDPT1_0049999999_12+GMIC_22A_SCDPT1!SCDPT1_0249999999_12+GMIC_22A_SCDPT1!SCDPT1_0449999999_12+GMIC_22A_SCDPT1!SCDPT1_0649999999_12+GMIC_22A_SCDPT1!SCDPT1_0849999999_12+GMIC_22A_SCDPT1!SCDPT1_1049999999_12+GMIC_22A_SCDPT1!SCDPT1_1249999999_12+GMIC_22A_SCDPT1!SCDPT1_1449999999_12</f>
        <v>0</v>
      </c>
      <c r="Q1093" s="3">
        <f>GMIC_22A_SCDPT1!SCDPT1_0049999999_13+GMIC_22A_SCDPT1!SCDPT1_0249999999_13+GMIC_22A_SCDPT1!SCDPT1_0449999999_13+GMIC_22A_SCDPT1!SCDPT1_0649999999_13+GMIC_22A_SCDPT1!SCDPT1_0849999999_13+GMIC_22A_SCDPT1!SCDPT1_1049999999_13+GMIC_22A_SCDPT1!SCDPT1_1249999999_13+GMIC_22A_SCDPT1!SCDPT1_1449999999_13</f>
        <v>24899</v>
      </c>
      <c r="R1093" s="3">
        <f>GMIC_22A_SCDPT1!SCDPT1_0049999999_14+GMIC_22A_SCDPT1!SCDPT1_0249999999_14+GMIC_22A_SCDPT1!SCDPT1_0449999999_14+GMIC_22A_SCDPT1!SCDPT1_0649999999_14+GMIC_22A_SCDPT1!SCDPT1_0849999999_14+GMIC_22A_SCDPT1!SCDPT1_1049999999_14+GMIC_22A_SCDPT1!SCDPT1_1249999999_14+GMIC_22A_SCDPT1!SCDPT1_1449999999_14</f>
        <v>0</v>
      </c>
      <c r="S1093" s="3">
        <f>GMIC_22A_SCDPT1!SCDPT1_0049999999_15+GMIC_22A_SCDPT1!SCDPT1_0249999999_15+GMIC_22A_SCDPT1!SCDPT1_0449999999_15+GMIC_22A_SCDPT1!SCDPT1_0649999999_15+GMIC_22A_SCDPT1!SCDPT1_0849999999_15+GMIC_22A_SCDPT1!SCDPT1_1049999999_15+GMIC_22A_SCDPT1!SCDPT1_1249999999_15+GMIC_22A_SCDPT1!SCDPT1_1449999999_15</f>
        <v>0</v>
      </c>
      <c r="T1093" s="2"/>
      <c r="U1093" s="2"/>
      <c r="V1093" s="2"/>
      <c r="W1093" s="3">
        <f>GMIC_22A_SCDPT1!SCDPT1_0049999999_19+GMIC_22A_SCDPT1!SCDPT1_0249999999_19+GMIC_22A_SCDPT1!SCDPT1_0449999999_19+GMIC_22A_SCDPT1!SCDPT1_0649999999_19+GMIC_22A_SCDPT1!SCDPT1_0849999999_19+GMIC_22A_SCDPT1!SCDPT1_1049999999_19+GMIC_22A_SCDPT1!SCDPT1_1249999999_19+GMIC_22A_SCDPT1!SCDPT1_1449999999_19</f>
        <v>3438027</v>
      </c>
      <c r="X1093" s="3">
        <f>GMIC_22A_SCDPT1!SCDPT1_0049999999_20+GMIC_22A_SCDPT1!SCDPT1_0249999999_20+GMIC_22A_SCDPT1!SCDPT1_0449999999_20+GMIC_22A_SCDPT1!SCDPT1_0649999999_20+GMIC_22A_SCDPT1!SCDPT1_0849999999_20+GMIC_22A_SCDPT1!SCDPT1_1049999999_20+GMIC_22A_SCDPT1!SCDPT1_1249999999_20+GMIC_22A_SCDPT1!SCDPT1_1449999999_20</f>
        <v>23672995</v>
      </c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</row>
    <row r="1094" spans="2:40" x14ac:dyDescent="0.3">
      <c r="B1094" s="19" t="s">
        <v>3594</v>
      </c>
      <c r="C1094" s="17" t="s">
        <v>192</v>
      </c>
      <c r="D1094" s="16"/>
      <c r="E1094" s="2"/>
      <c r="F1094" s="2"/>
      <c r="G1094" s="2"/>
      <c r="H1094" s="2"/>
      <c r="I1094" s="2"/>
      <c r="J1094" s="2"/>
      <c r="K1094" s="46">
        <f>GMIC_22A_SCDPT1!SCDPT1_1619999999_7</f>
        <v>0</v>
      </c>
      <c r="L1094" s="2"/>
      <c r="M1094" s="46">
        <f>GMIC_22A_SCDPT1!SCDPT1_1619999999_9</f>
        <v>0</v>
      </c>
      <c r="N1094" s="46">
        <f>GMIC_22A_SCDPT1!SCDPT1_1619999999_10</f>
        <v>0</v>
      </c>
      <c r="O1094" s="46">
        <f>GMIC_22A_SCDPT1!SCDPT1_1619999999_11</f>
        <v>0</v>
      </c>
      <c r="P1094" s="46">
        <f>GMIC_22A_SCDPT1!SCDPT1_1619999999_12</f>
        <v>0</v>
      </c>
      <c r="Q1094" s="46">
        <f>GMIC_22A_SCDPT1!SCDPT1_1619999999_13</f>
        <v>0</v>
      </c>
      <c r="R1094" s="46">
        <f>GMIC_22A_SCDPT1!SCDPT1_1619999999_14</f>
        <v>0</v>
      </c>
      <c r="S1094" s="46">
        <f>GMIC_22A_SCDPT1!SCDPT1_1619999999_15</f>
        <v>0</v>
      </c>
      <c r="T1094" s="2"/>
      <c r="U1094" s="2"/>
      <c r="V1094" s="2"/>
      <c r="W1094" s="46">
        <f>GMIC_22A_SCDPT1!SCDPT1_1619999999_19</f>
        <v>0</v>
      </c>
      <c r="X1094" s="46">
        <f>GMIC_22A_SCDPT1!SCDPT1_1619999999_20</f>
        <v>0</v>
      </c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</row>
    <row r="1095" spans="2:40" x14ac:dyDescent="0.3">
      <c r="B1095" s="19" t="s">
        <v>2687</v>
      </c>
      <c r="C1095" s="17" t="s">
        <v>4447</v>
      </c>
      <c r="D1095" s="16"/>
      <c r="E1095" s="2"/>
      <c r="F1095" s="2"/>
      <c r="G1095" s="2"/>
      <c r="H1095" s="2"/>
      <c r="I1095" s="2"/>
      <c r="J1095" s="2"/>
      <c r="K1095" s="3">
        <f>GMIC_22A_SCDPT1!SCDPT1_1459999999_7+GMIC_22A_SCDPT1!SCDPT1_1469999999_7</f>
        <v>0</v>
      </c>
      <c r="L1095" s="2"/>
      <c r="M1095" s="3">
        <f>GMIC_22A_SCDPT1!SCDPT1_1459999999_9+GMIC_22A_SCDPT1!SCDPT1_1469999999_9</f>
        <v>0</v>
      </c>
      <c r="N1095" s="3">
        <f>GMIC_22A_SCDPT1!SCDPT1_1459999999_10+GMIC_22A_SCDPT1!SCDPT1_1469999999_10</f>
        <v>0</v>
      </c>
      <c r="O1095" s="3">
        <f>GMIC_22A_SCDPT1!SCDPT1_1459999999_11+GMIC_22A_SCDPT1!SCDPT1_1469999999_11</f>
        <v>0</v>
      </c>
      <c r="P1095" s="3">
        <f>GMIC_22A_SCDPT1!SCDPT1_1459999999_12+GMIC_22A_SCDPT1!SCDPT1_1469999999_12</f>
        <v>0</v>
      </c>
      <c r="Q1095" s="3">
        <f>GMIC_22A_SCDPT1!SCDPT1_1459999999_13+GMIC_22A_SCDPT1!SCDPT1_1469999999_13</f>
        <v>0</v>
      </c>
      <c r="R1095" s="3">
        <f>GMIC_22A_SCDPT1!SCDPT1_1459999999_14+GMIC_22A_SCDPT1!SCDPT1_1469999999_14</f>
        <v>0</v>
      </c>
      <c r="S1095" s="3">
        <f>GMIC_22A_SCDPT1!SCDPT1_1459999999_15+GMIC_22A_SCDPT1!SCDPT1_1469999999_15</f>
        <v>0</v>
      </c>
      <c r="T1095" s="2"/>
      <c r="U1095" s="2"/>
      <c r="V1095" s="2"/>
      <c r="W1095" s="3">
        <f>GMIC_22A_SCDPT1!SCDPT1_1459999999_19+GMIC_22A_SCDPT1!SCDPT1_1469999999_19</f>
        <v>0</v>
      </c>
      <c r="X1095" s="3">
        <f>GMIC_22A_SCDPT1!SCDPT1_1459999999_20+GMIC_22A_SCDPT1!SCDPT1_1469999999_20</f>
        <v>0</v>
      </c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</row>
    <row r="1096" spans="2:40" x14ac:dyDescent="0.3">
      <c r="B1096" s="19" t="s">
        <v>1839</v>
      </c>
      <c r="C1096" s="17" t="s">
        <v>2969</v>
      </c>
      <c r="D1096" s="16"/>
      <c r="E1096" s="2"/>
      <c r="F1096" s="2"/>
      <c r="G1096" s="2"/>
      <c r="H1096" s="2"/>
      <c r="I1096" s="2"/>
      <c r="J1096" s="2"/>
      <c r="K1096" s="46">
        <f>GMIC_22A_SCDPT1!SCDPT1_1909999999_7</f>
        <v>0</v>
      </c>
      <c r="L1096" s="2"/>
      <c r="M1096" s="46">
        <f>GMIC_22A_SCDPT1!SCDPT1_1909999999_9</f>
        <v>0</v>
      </c>
      <c r="N1096" s="46">
        <f>GMIC_22A_SCDPT1!SCDPT1_1909999999_10</f>
        <v>0</v>
      </c>
      <c r="O1096" s="46">
        <f>GMIC_22A_SCDPT1!SCDPT1_1909999999_11</f>
        <v>0</v>
      </c>
      <c r="P1096" s="46">
        <f>GMIC_22A_SCDPT1!SCDPT1_1909999999_12</f>
        <v>0</v>
      </c>
      <c r="Q1096" s="46">
        <f>GMIC_22A_SCDPT1!SCDPT1_1909999999_13</f>
        <v>0</v>
      </c>
      <c r="R1096" s="46">
        <f>GMIC_22A_SCDPT1!SCDPT1_1909999999_14</f>
        <v>0</v>
      </c>
      <c r="S1096" s="46">
        <f>GMIC_22A_SCDPT1!SCDPT1_1909999999_15</f>
        <v>0</v>
      </c>
      <c r="T1096" s="2"/>
      <c r="U1096" s="2"/>
      <c r="V1096" s="2"/>
      <c r="W1096" s="46">
        <f>GMIC_22A_SCDPT1!SCDPT1_1909999999_19</f>
        <v>0</v>
      </c>
      <c r="X1096" s="46">
        <f>GMIC_22A_SCDPT1!SCDPT1_1909999999_20</f>
        <v>0</v>
      </c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</row>
    <row r="1097" spans="2:40" ht="28" x14ac:dyDescent="0.3">
      <c r="B1097" s="19" t="s">
        <v>1048</v>
      </c>
      <c r="C1097" s="17" t="s">
        <v>4112</v>
      </c>
      <c r="D1097" s="16"/>
      <c r="E1097" s="2"/>
      <c r="F1097" s="2"/>
      <c r="G1097" s="2"/>
      <c r="H1097" s="2"/>
      <c r="I1097" s="2"/>
      <c r="J1097" s="2"/>
      <c r="K1097" s="46">
        <f>GMIC_22A_SCDPT1!SCDPT1_2019999999_7</f>
        <v>0</v>
      </c>
      <c r="L1097" s="2"/>
      <c r="M1097" s="46">
        <f>GMIC_22A_SCDPT1!SCDPT1_2019999999_9</f>
        <v>0</v>
      </c>
      <c r="N1097" s="46">
        <f>GMIC_22A_SCDPT1!SCDPT1_2019999999_10</f>
        <v>0</v>
      </c>
      <c r="O1097" s="46">
        <f>GMIC_22A_SCDPT1!SCDPT1_2019999999_11</f>
        <v>0</v>
      </c>
      <c r="P1097" s="46">
        <f>GMIC_22A_SCDPT1!SCDPT1_2019999999_12</f>
        <v>0</v>
      </c>
      <c r="Q1097" s="46">
        <f>GMIC_22A_SCDPT1!SCDPT1_2019999999_13</f>
        <v>0</v>
      </c>
      <c r="R1097" s="46">
        <f>GMIC_22A_SCDPT1!SCDPT1_2019999999_14</f>
        <v>0</v>
      </c>
      <c r="S1097" s="46">
        <f>GMIC_22A_SCDPT1!SCDPT1_2019999999_15</f>
        <v>0</v>
      </c>
      <c r="T1097" s="2"/>
      <c r="U1097" s="2"/>
      <c r="V1097" s="2"/>
      <c r="W1097" s="46">
        <f>GMIC_22A_SCDPT1!SCDPT1_2019999999_19</f>
        <v>0</v>
      </c>
      <c r="X1097" s="46">
        <f>GMIC_22A_SCDPT1!SCDPT1_2019999999_20</f>
        <v>0</v>
      </c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</row>
    <row r="1098" spans="2:40" x14ac:dyDescent="0.3">
      <c r="B1098" s="61" t="s">
        <v>3595</v>
      </c>
      <c r="C1098" s="56" t="s">
        <v>2469</v>
      </c>
      <c r="D1098" s="65"/>
      <c r="E1098" s="27"/>
      <c r="F1098" s="27"/>
      <c r="G1098" s="27"/>
      <c r="H1098" s="27"/>
      <c r="I1098" s="27"/>
      <c r="J1098" s="27"/>
      <c r="K1098" s="30">
        <f>GMIC_22A_SCDPT1!SCDPT1_0109999999_7+GMIC_22A_SCDPT1!SCDPT1_0309999999_7+GMIC_22A_SCDPT1!SCDPT1_0509999999_7+GMIC_22A_SCDPT1!SCDPT1_0709999999_7+GMIC_22A_SCDPT1!SCDPT1_0909999999_7+GMIC_22A_SCDPT1!SCDPT1_1109999999_7+GMIC_22A_SCDPT1!SCDPT1_1309999999_7+GMIC_22A_SCDPT1!SCDPT1_1509999999_7+GMIC_22A_SCDPT1!SCDPT1_1619999999_7+GMIC_22A_SCDPT1!SCDPT1_1909999999_7+GMIC_22A_SCDPT1!SCDPT1_2019999999_7</f>
        <v>5068095535</v>
      </c>
      <c r="L1098" s="27"/>
      <c r="M1098" s="30">
        <f>GMIC_22A_SCDPT1!SCDPT1_0109999999_9+GMIC_22A_SCDPT1!SCDPT1_0309999999_9+GMIC_22A_SCDPT1!SCDPT1_0509999999_9+GMIC_22A_SCDPT1!SCDPT1_0709999999_9+GMIC_22A_SCDPT1!SCDPT1_0909999999_9+GMIC_22A_SCDPT1!SCDPT1_1109999999_9+GMIC_22A_SCDPT1!SCDPT1_1309999999_9+GMIC_22A_SCDPT1!SCDPT1_1509999999_9+GMIC_22A_SCDPT1!SCDPT1_1619999999_9+GMIC_22A_SCDPT1!SCDPT1_1909999999_9+GMIC_22A_SCDPT1!SCDPT1_2019999999_9</f>
        <v>4590544546</v>
      </c>
      <c r="N1098" s="30">
        <f>GMIC_22A_SCDPT1!SCDPT1_0109999999_10+GMIC_22A_SCDPT1!SCDPT1_0309999999_10+GMIC_22A_SCDPT1!SCDPT1_0509999999_10+GMIC_22A_SCDPT1!SCDPT1_0709999999_10+GMIC_22A_SCDPT1!SCDPT1_0909999999_10+GMIC_22A_SCDPT1!SCDPT1_1109999999_10+GMIC_22A_SCDPT1!SCDPT1_1309999999_10+GMIC_22A_SCDPT1!SCDPT1_1509999999_10+GMIC_22A_SCDPT1!SCDPT1_1619999999_10+GMIC_22A_SCDPT1!SCDPT1_1909999999_10+GMIC_22A_SCDPT1!SCDPT1_2019999999_10</f>
        <v>5079474618</v>
      </c>
      <c r="O1098" s="30">
        <f>GMIC_22A_SCDPT1!SCDPT1_0109999999_11+GMIC_22A_SCDPT1!SCDPT1_0309999999_11+GMIC_22A_SCDPT1!SCDPT1_0509999999_11+GMIC_22A_SCDPT1!SCDPT1_0709999999_11+GMIC_22A_SCDPT1!SCDPT1_0909999999_11+GMIC_22A_SCDPT1!SCDPT1_1109999999_11+GMIC_22A_SCDPT1!SCDPT1_1309999999_11+GMIC_22A_SCDPT1!SCDPT1_1509999999_11+GMIC_22A_SCDPT1!SCDPT1_1619999999_11+GMIC_22A_SCDPT1!SCDPT1_1909999999_11+GMIC_22A_SCDPT1!SCDPT1_2019999999_11</f>
        <v>5055796628</v>
      </c>
      <c r="P1098" s="30">
        <f>GMIC_22A_SCDPT1!SCDPT1_0109999999_12+GMIC_22A_SCDPT1!SCDPT1_0309999999_12+GMIC_22A_SCDPT1!SCDPT1_0509999999_12+GMIC_22A_SCDPT1!SCDPT1_0709999999_12+GMIC_22A_SCDPT1!SCDPT1_0909999999_12+GMIC_22A_SCDPT1!SCDPT1_1109999999_12+GMIC_22A_SCDPT1!SCDPT1_1309999999_12+GMIC_22A_SCDPT1!SCDPT1_1509999999_12+GMIC_22A_SCDPT1!SCDPT1_1619999999_12+GMIC_22A_SCDPT1!SCDPT1_1909999999_12+GMIC_22A_SCDPT1!SCDPT1_2019999999_12</f>
        <v>-15522228</v>
      </c>
      <c r="Q1098" s="30">
        <f>GMIC_22A_SCDPT1!SCDPT1_0109999999_13+GMIC_22A_SCDPT1!SCDPT1_0309999999_13+GMIC_22A_SCDPT1!SCDPT1_0509999999_13+GMIC_22A_SCDPT1!SCDPT1_0709999999_13+GMIC_22A_SCDPT1!SCDPT1_0909999999_13+GMIC_22A_SCDPT1!SCDPT1_1109999999_13+GMIC_22A_SCDPT1!SCDPT1_1309999999_13+GMIC_22A_SCDPT1!SCDPT1_1509999999_13+GMIC_22A_SCDPT1!SCDPT1_1619999999_13+GMIC_22A_SCDPT1!SCDPT1_1909999999_13+GMIC_22A_SCDPT1!SCDPT1_2019999999_13</f>
        <v>-540069</v>
      </c>
      <c r="R1098" s="30">
        <f>GMIC_22A_SCDPT1!SCDPT1_0109999999_14+GMIC_22A_SCDPT1!SCDPT1_0309999999_14+GMIC_22A_SCDPT1!SCDPT1_0509999999_14+GMIC_22A_SCDPT1!SCDPT1_0709999999_14+GMIC_22A_SCDPT1!SCDPT1_0909999999_14+GMIC_22A_SCDPT1!SCDPT1_1109999999_14+GMIC_22A_SCDPT1!SCDPT1_1309999999_14+GMIC_22A_SCDPT1!SCDPT1_1509999999_14+GMIC_22A_SCDPT1!SCDPT1_1619999999_14+GMIC_22A_SCDPT1!SCDPT1_1909999999_14+GMIC_22A_SCDPT1!SCDPT1_2019999999_14</f>
        <v>0</v>
      </c>
      <c r="S1098" s="30">
        <f>GMIC_22A_SCDPT1!SCDPT1_0109999999_15+GMIC_22A_SCDPT1!SCDPT1_0309999999_15+GMIC_22A_SCDPT1!SCDPT1_0509999999_15+GMIC_22A_SCDPT1!SCDPT1_0709999999_15+GMIC_22A_SCDPT1!SCDPT1_0909999999_15+GMIC_22A_SCDPT1!SCDPT1_1109999999_15+GMIC_22A_SCDPT1!SCDPT1_1309999999_15+GMIC_22A_SCDPT1!SCDPT1_1509999999_15+GMIC_22A_SCDPT1!SCDPT1_1619999999_15+GMIC_22A_SCDPT1!SCDPT1_1909999999_15+GMIC_22A_SCDPT1!SCDPT1_2019999999_15</f>
        <v>0</v>
      </c>
      <c r="T1098" s="27"/>
      <c r="U1098" s="27"/>
      <c r="V1098" s="27"/>
      <c r="W1098" s="30">
        <f>GMIC_22A_SCDPT1!SCDPT1_0109999999_19+GMIC_22A_SCDPT1!SCDPT1_0309999999_19+GMIC_22A_SCDPT1!SCDPT1_0509999999_19+GMIC_22A_SCDPT1!SCDPT1_0709999999_19+GMIC_22A_SCDPT1!SCDPT1_0909999999_19+GMIC_22A_SCDPT1!SCDPT1_1109999999_19+GMIC_22A_SCDPT1!SCDPT1_1309999999_19+GMIC_22A_SCDPT1!SCDPT1_1509999999_19+GMIC_22A_SCDPT1!SCDPT1_1619999999_19+GMIC_22A_SCDPT1!SCDPT1_1909999999_19+GMIC_22A_SCDPT1!SCDPT1_2019999999_19</f>
        <v>33198806</v>
      </c>
      <c r="X1098" s="30">
        <f>GMIC_22A_SCDPT1!SCDPT1_0109999999_20+GMIC_22A_SCDPT1!SCDPT1_0309999999_20+GMIC_22A_SCDPT1!SCDPT1_0509999999_20+GMIC_22A_SCDPT1!SCDPT1_0709999999_20+GMIC_22A_SCDPT1!SCDPT1_0909999999_20+GMIC_22A_SCDPT1!SCDPT1_1109999999_20+GMIC_22A_SCDPT1!SCDPT1_1309999999_20+GMIC_22A_SCDPT1!SCDPT1_1509999999_20+GMIC_22A_SCDPT1!SCDPT1_1619999999_20+GMIC_22A_SCDPT1!SCDPT1_1909999999_20+GMIC_22A_SCDPT1!SCDPT1_2019999999_20</f>
        <v>122402475</v>
      </c>
      <c r="Y1098" s="27"/>
      <c r="Z1098" s="27"/>
      <c r="AA1098" s="27"/>
      <c r="AB1098" s="27"/>
      <c r="AC1098" s="27"/>
      <c r="AD1098" s="27"/>
      <c r="AE1098" s="27"/>
      <c r="AF1098" s="27"/>
      <c r="AG1098" s="27"/>
      <c r="AH1098" s="27"/>
      <c r="AI1098" s="27"/>
      <c r="AJ1098" s="27"/>
      <c r="AK1098" s="27"/>
      <c r="AL1098" s="27"/>
      <c r="AM1098" s="27"/>
      <c r="AN1098" s="27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&amp;CSCDPT1SCDPT1</oddHeader>
    <oddFooter>&amp;LWing Application : &amp;R SaveAs(3/3/2023-8:37 AM)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U73"/>
  <sheetViews>
    <sheetView workbookViewId="0"/>
  </sheetViews>
  <sheetFormatPr defaultRowHeight="14" x14ac:dyDescent="0.3"/>
  <cols>
    <col min="1" max="1" width="1.75" customWidth="1"/>
    <col min="2" max="2" width="9.75" customWidth="1"/>
    <col min="3" max="4" width="25.75" customWidth="1"/>
    <col min="5" max="5" width="42.75" customWidth="1"/>
    <col min="6" max="7" width="10.75" customWidth="1"/>
    <col min="8" max="8" width="60.75" customWidth="1"/>
    <col min="9" max="11" width="14.75" customWidth="1"/>
    <col min="12" max="12" width="12.75" customWidth="1"/>
    <col min="13" max="14" width="10.75" customWidth="1"/>
    <col min="15" max="15" width="25.75" customWidth="1"/>
    <col min="16" max="17" width="10.75" customWidth="1"/>
    <col min="18" max="20" width="14.75" customWidth="1"/>
    <col min="21" max="21" width="10.75" customWidth="1"/>
  </cols>
  <sheetData>
    <row r="1" spans="2:21" x14ac:dyDescent="0.3">
      <c r="C1" s="35" t="s">
        <v>1614</v>
      </c>
      <c r="D1" s="35" t="s">
        <v>1158</v>
      </c>
      <c r="E1" s="35" t="s">
        <v>1615</v>
      </c>
      <c r="F1" s="35" t="s">
        <v>264</v>
      </c>
    </row>
    <row r="2" spans="2:21" x14ac:dyDescent="0.3">
      <c r="B2" s="57"/>
      <c r="C2" s="44" t="str">
        <f>GMIC_22A_SCDPT1!Wings_Company_ID</f>
        <v>GMIC</v>
      </c>
      <c r="D2" s="44" t="str">
        <f>GMIC_22A_SCDPT1!Wings_Statement_ID</f>
        <v>22A</v>
      </c>
      <c r="E2" s="42" t="s">
        <v>3644</v>
      </c>
      <c r="F2" s="42" t="s">
        <v>3645</v>
      </c>
    </row>
    <row r="3" spans="2:21" ht="40" customHeight="1" x14ac:dyDescent="0.3">
      <c r="B3" s="62" t="s">
        <v>265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2:21" ht="40" customHeight="1" x14ac:dyDescent="0.4">
      <c r="B4" s="63" t="s">
        <v>2264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2:21" x14ac:dyDescent="0.3">
      <c r="B5" s="59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  <c r="O5" s="12">
        <v>13</v>
      </c>
      <c r="P5" s="12">
        <v>14</v>
      </c>
      <c r="Q5" s="12">
        <v>15</v>
      </c>
      <c r="R5" s="12">
        <v>16</v>
      </c>
      <c r="S5" s="12">
        <v>17</v>
      </c>
      <c r="T5" s="12">
        <v>18</v>
      </c>
      <c r="U5" s="12">
        <v>19</v>
      </c>
    </row>
    <row r="6" spans="2:21" ht="81" x14ac:dyDescent="0.3">
      <c r="B6" s="58"/>
      <c r="C6" s="13" t="s">
        <v>3889</v>
      </c>
      <c r="D6" s="13" t="s">
        <v>4535</v>
      </c>
      <c r="E6" s="13" t="s">
        <v>3405</v>
      </c>
      <c r="F6" s="13" t="s">
        <v>3400</v>
      </c>
      <c r="G6" s="13" t="s">
        <v>2735</v>
      </c>
      <c r="H6" s="13" t="s">
        <v>1147</v>
      </c>
      <c r="I6" s="13" t="s">
        <v>780</v>
      </c>
      <c r="J6" s="13" t="s">
        <v>1397</v>
      </c>
      <c r="K6" s="13" t="s">
        <v>1398</v>
      </c>
      <c r="L6" s="13" t="s">
        <v>1148</v>
      </c>
      <c r="M6" s="13" t="s">
        <v>3047</v>
      </c>
      <c r="N6" s="13" t="s">
        <v>3407</v>
      </c>
      <c r="O6" s="13" t="s">
        <v>3050</v>
      </c>
      <c r="P6" s="13" t="s">
        <v>504</v>
      </c>
      <c r="Q6" s="13" t="s">
        <v>2531</v>
      </c>
      <c r="R6" s="13" t="s">
        <v>2697</v>
      </c>
      <c r="S6" s="13" t="s">
        <v>3401</v>
      </c>
      <c r="T6" s="13" t="s">
        <v>3884</v>
      </c>
      <c r="U6" s="13" t="s">
        <v>1149</v>
      </c>
    </row>
    <row r="7" spans="2:21" x14ac:dyDescent="0.3">
      <c r="B7" s="7" t="s">
        <v>2744</v>
      </c>
      <c r="C7" s="1" t="s">
        <v>2744</v>
      </c>
      <c r="D7" s="8" t="s">
        <v>2744</v>
      </c>
      <c r="E7" s="1" t="s">
        <v>2744</v>
      </c>
      <c r="F7" s="1" t="s">
        <v>2744</v>
      </c>
      <c r="G7" s="1" t="s">
        <v>2744</v>
      </c>
      <c r="H7" s="1" t="s">
        <v>2744</v>
      </c>
      <c r="I7" s="1" t="s">
        <v>2744</v>
      </c>
      <c r="J7" s="1" t="s">
        <v>2744</v>
      </c>
      <c r="K7" s="1" t="s">
        <v>2744</v>
      </c>
      <c r="L7" s="1" t="s">
        <v>2744</v>
      </c>
      <c r="M7" s="1" t="s">
        <v>2744</v>
      </c>
      <c r="N7" s="1" t="s">
        <v>2744</v>
      </c>
      <c r="O7" s="1" t="s">
        <v>2744</v>
      </c>
      <c r="P7" s="1" t="s">
        <v>2744</v>
      </c>
      <c r="Q7" s="1" t="s">
        <v>2744</v>
      </c>
      <c r="R7" s="1" t="s">
        <v>2744</v>
      </c>
      <c r="S7" s="1" t="s">
        <v>2744</v>
      </c>
      <c r="T7" s="1" t="s">
        <v>2744</v>
      </c>
      <c r="U7" s="1" t="s">
        <v>2744</v>
      </c>
    </row>
    <row r="8" spans="2:21" x14ac:dyDescent="0.3">
      <c r="B8" s="18" t="s">
        <v>1906</v>
      </c>
      <c r="C8" s="25" t="s">
        <v>3897</v>
      </c>
      <c r="D8" s="15" t="s">
        <v>2</v>
      </c>
      <c r="E8" s="20" t="s">
        <v>2</v>
      </c>
      <c r="F8" s="49" t="s">
        <v>2</v>
      </c>
      <c r="G8" s="51" t="s">
        <v>2</v>
      </c>
      <c r="H8" s="50" t="s">
        <v>2</v>
      </c>
      <c r="I8" s="4"/>
      <c r="J8" s="4"/>
      <c r="K8" s="4"/>
      <c r="L8" s="28"/>
      <c r="M8" s="48"/>
      <c r="N8" s="5" t="s">
        <v>2</v>
      </c>
      <c r="O8" s="5" t="s">
        <v>2</v>
      </c>
      <c r="P8" s="5" t="s">
        <v>2</v>
      </c>
      <c r="Q8" s="21" t="s">
        <v>2</v>
      </c>
      <c r="R8" s="4"/>
      <c r="S8" s="4"/>
      <c r="T8" s="4"/>
      <c r="U8" s="52" t="s">
        <v>2</v>
      </c>
    </row>
    <row r="9" spans="2:21" x14ac:dyDescent="0.3">
      <c r="B9" s="7" t="s">
        <v>2744</v>
      </c>
      <c r="C9" s="1" t="s">
        <v>2744</v>
      </c>
      <c r="D9" s="8" t="s">
        <v>2744</v>
      </c>
      <c r="E9" s="1" t="s">
        <v>2744</v>
      </c>
      <c r="F9" s="1" t="s">
        <v>2744</v>
      </c>
      <c r="G9" s="1" t="s">
        <v>2744</v>
      </c>
      <c r="H9" s="1" t="s">
        <v>2744</v>
      </c>
      <c r="I9" s="1" t="s">
        <v>2744</v>
      </c>
      <c r="J9" s="1" t="s">
        <v>2744</v>
      </c>
      <c r="K9" s="1" t="s">
        <v>2744</v>
      </c>
      <c r="L9" s="1" t="s">
        <v>2744</v>
      </c>
      <c r="M9" s="1" t="s">
        <v>2744</v>
      </c>
      <c r="N9" s="1" t="s">
        <v>2744</v>
      </c>
      <c r="O9" s="1" t="s">
        <v>2744</v>
      </c>
      <c r="P9" s="1" t="s">
        <v>2744</v>
      </c>
      <c r="Q9" s="1" t="s">
        <v>2744</v>
      </c>
      <c r="R9" s="1" t="s">
        <v>2744</v>
      </c>
      <c r="S9" s="1" t="s">
        <v>2744</v>
      </c>
      <c r="T9" s="1" t="s">
        <v>2744</v>
      </c>
      <c r="U9" s="1" t="s">
        <v>2744</v>
      </c>
    </row>
    <row r="10" spans="2:21" ht="28" x14ac:dyDescent="0.3">
      <c r="B10" s="19" t="s">
        <v>3646</v>
      </c>
      <c r="C10" s="17" t="s">
        <v>1609</v>
      </c>
      <c r="D10" s="16"/>
      <c r="E10" s="2"/>
      <c r="F10" s="2"/>
      <c r="G10" s="2"/>
      <c r="H10" s="2"/>
      <c r="I10" s="3">
        <f>SUM(GMIC_22A_SCDPT6SN1!SCDPT6SN1_01BEGIN_7:GMIC_22A_SCDPT6SN1!SCDPT6SN1_01ENDIN_7)</f>
        <v>0</v>
      </c>
      <c r="J10" s="3">
        <f>SUM(GMIC_22A_SCDPT6SN1!SCDPT6SN1_01BEGIN_8:GMIC_22A_SCDPT6SN1!SCDPT6SN1_01ENDIN_8)</f>
        <v>0</v>
      </c>
      <c r="K10" s="3">
        <f>SUM(GMIC_22A_SCDPT6SN1!SCDPT6SN1_01BEGIN_9:GMIC_22A_SCDPT6SN1!SCDPT6SN1_01ENDIN_9)</f>
        <v>0</v>
      </c>
      <c r="L10" s="2"/>
      <c r="M10" s="2"/>
      <c r="N10" s="2"/>
      <c r="O10" s="2"/>
      <c r="P10" s="2"/>
      <c r="Q10" s="2"/>
      <c r="R10" s="3">
        <f>SUM(GMIC_22A_SCDPT6SN1!SCDPT6SN1_01BEGIN_16:GMIC_22A_SCDPT6SN1!SCDPT6SN1_01ENDIN_16)</f>
        <v>0</v>
      </c>
      <c r="S10" s="3">
        <f>SUM(GMIC_22A_SCDPT6SN1!SCDPT6SN1_01BEGIN_17:GMIC_22A_SCDPT6SN1!SCDPT6SN1_01ENDIN_17)</f>
        <v>0</v>
      </c>
      <c r="T10" s="3">
        <f>SUM(GMIC_22A_SCDPT6SN1!SCDPT6SN1_01BEGIN_18:GMIC_22A_SCDPT6SN1!SCDPT6SN1_01ENDIN_18)</f>
        <v>0</v>
      </c>
      <c r="U10" s="2"/>
    </row>
    <row r="11" spans="2:21" x14ac:dyDescent="0.3">
      <c r="B11" s="7" t="s">
        <v>2744</v>
      </c>
      <c r="C11" s="1" t="s">
        <v>2744</v>
      </c>
      <c r="D11" s="8" t="s">
        <v>2744</v>
      </c>
      <c r="E11" s="1" t="s">
        <v>2744</v>
      </c>
      <c r="F11" s="1" t="s">
        <v>2744</v>
      </c>
      <c r="G11" s="1" t="s">
        <v>2744</v>
      </c>
      <c r="H11" s="1" t="s">
        <v>2744</v>
      </c>
      <c r="I11" s="1" t="s">
        <v>2744</v>
      </c>
      <c r="J11" s="1" t="s">
        <v>2744</v>
      </c>
      <c r="K11" s="1" t="s">
        <v>2744</v>
      </c>
      <c r="L11" s="1" t="s">
        <v>2744</v>
      </c>
      <c r="M11" s="1" t="s">
        <v>2744</v>
      </c>
      <c r="N11" s="1" t="s">
        <v>2744</v>
      </c>
      <c r="O11" s="1" t="s">
        <v>2744</v>
      </c>
      <c r="P11" s="1" t="s">
        <v>2744</v>
      </c>
      <c r="Q11" s="1" t="s">
        <v>2744</v>
      </c>
      <c r="R11" s="1" t="s">
        <v>2744</v>
      </c>
      <c r="S11" s="1" t="s">
        <v>2744</v>
      </c>
      <c r="T11" s="1" t="s">
        <v>2744</v>
      </c>
      <c r="U11" s="1" t="s">
        <v>2744</v>
      </c>
    </row>
    <row r="12" spans="2:21" x14ac:dyDescent="0.3">
      <c r="B12" s="18" t="s">
        <v>1399</v>
      </c>
      <c r="C12" s="25" t="s">
        <v>3897</v>
      </c>
      <c r="D12" s="15" t="s">
        <v>2</v>
      </c>
      <c r="E12" s="20" t="s">
        <v>2</v>
      </c>
      <c r="F12" s="49" t="s">
        <v>2</v>
      </c>
      <c r="G12" s="51" t="s">
        <v>2</v>
      </c>
      <c r="H12" s="50" t="s">
        <v>2</v>
      </c>
      <c r="I12" s="4"/>
      <c r="J12" s="4"/>
      <c r="K12" s="4"/>
      <c r="L12" s="28"/>
      <c r="M12" s="48"/>
      <c r="N12" s="5" t="s">
        <v>2</v>
      </c>
      <c r="O12" s="5" t="s">
        <v>2</v>
      </c>
      <c r="P12" s="5" t="s">
        <v>2</v>
      </c>
      <c r="Q12" s="21" t="s">
        <v>2</v>
      </c>
      <c r="R12" s="4"/>
      <c r="S12" s="4"/>
      <c r="T12" s="4"/>
      <c r="U12" s="52" t="s">
        <v>2</v>
      </c>
    </row>
    <row r="13" spans="2:21" x14ac:dyDescent="0.3">
      <c r="B13" s="7" t="s">
        <v>2744</v>
      </c>
      <c r="C13" s="1" t="s">
        <v>2744</v>
      </c>
      <c r="D13" s="8" t="s">
        <v>2744</v>
      </c>
      <c r="E13" s="1" t="s">
        <v>2744</v>
      </c>
      <c r="F13" s="1" t="s">
        <v>2744</v>
      </c>
      <c r="G13" s="1" t="s">
        <v>2744</v>
      </c>
      <c r="H13" s="1" t="s">
        <v>2744</v>
      </c>
      <c r="I13" s="1" t="s">
        <v>2744</v>
      </c>
      <c r="J13" s="1" t="s">
        <v>2744</v>
      </c>
      <c r="K13" s="1" t="s">
        <v>2744</v>
      </c>
      <c r="L13" s="1" t="s">
        <v>2744</v>
      </c>
      <c r="M13" s="1" t="s">
        <v>2744</v>
      </c>
      <c r="N13" s="1" t="s">
        <v>2744</v>
      </c>
      <c r="O13" s="1" t="s">
        <v>2744</v>
      </c>
      <c r="P13" s="1" t="s">
        <v>2744</v>
      </c>
      <c r="Q13" s="1" t="s">
        <v>2744</v>
      </c>
      <c r="R13" s="1" t="s">
        <v>2744</v>
      </c>
      <c r="S13" s="1" t="s">
        <v>2744</v>
      </c>
      <c r="T13" s="1" t="s">
        <v>2744</v>
      </c>
      <c r="U13" s="1" t="s">
        <v>2744</v>
      </c>
    </row>
    <row r="14" spans="2:21" ht="28" x14ac:dyDescent="0.3">
      <c r="B14" s="19" t="s">
        <v>2736</v>
      </c>
      <c r="C14" s="17" t="s">
        <v>1907</v>
      </c>
      <c r="D14" s="16"/>
      <c r="E14" s="2"/>
      <c r="F14" s="2"/>
      <c r="G14" s="2"/>
      <c r="H14" s="2"/>
      <c r="I14" s="3">
        <f>SUM(GMIC_22A_SCDPT6SN1!SCDPT6SN1_02BEGIN_7:GMIC_22A_SCDPT6SN1!SCDPT6SN1_02ENDIN_7)</f>
        <v>0</v>
      </c>
      <c r="J14" s="3">
        <f>SUM(GMIC_22A_SCDPT6SN1!SCDPT6SN1_02BEGIN_8:GMIC_22A_SCDPT6SN1!SCDPT6SN1_02ENDIN_8)</f>
        <v>0</v>
      </c>
      <c r="K14" s="3">
        <f>SUM(GMIC_22A_SCDPT6SN1!SCDPT6SN1_02BEGIN_9:GMIC_22A_SCDPT6SN1!SCDPT6SN1_02ENDIN_9)</f>
        <v>0</v>
      </c>
      <c r="L14" s="2"/>
      <c r="M14" s="2"/>
      <c r="N14" s="2"/>
      <c r="O14" s="2"/>
      <c r="P14" s="2"/>
      <c r="Q14" s="2"/>
      <c r="R14" s="3">
        <f>SUM(GMIC_22A_SCDPT6SN1!SCDPT6SN1_02BEGIN_16:GMIC_22A_SCDPT6SN1!SCDPT6SN1_02ENDIN_16)</f>
        <v>0</v>
      </c>
      <c r="S14" s="3">
        <f>SUM(GMIC_22A_SCDPT6SN1!SCDPT6SN1_02BEGIN_17:GMIC_22A_SCDPT6SN1!SCDPT6SN1_02ENDIN_17)</f>
        <v>0</v>
      </c>
      <c r="T14" s="3">
        <f>SUM(GMIC_22A_SCDPT6SN1!SCDPT6SN1_02BEGIN_18:GMIC_22A_SCDPT6SN1!SCDPT6SN1_02ENDIN_18)</f>
        <v>0</v>
      </c>
      <c r="U14" s="2"/>
    </row>
    <row r="15" spans="2:21" x14ac:dyDescent="0.3">
      <c r="B15" s="7" t="s">
        <v>2744</v>
      </c>
      <c r="C15" s="1" t="s">
        <v>2744</v>
      </c>
      <c r="D15" s="8" t="s">
        <v>2744</v>
      </c>
      <c r="E15" s="1" t="s">
        <v>2744</v>
      </c>
      <c r="F15" s="1" t="s">
        <v>2744</v>
      </c>
      <c r="G15" s="1" t="s">
        <v>2744</v>
      </c>
      <c r="H15" s="1" t="s">
        <v>2744</v>
      </c>
      <c r="I15" s="1" t="s">
        <v>2744</v>
      </c>
      <c r="J15" s="1" t="s">
        <v>2744</v>
      </c>
      <c r="K15" s="1" t="s">
        <v>2744</v>
      </c>
      <c r="L15" s="1" t="s">
        <v>2744</v>
      </c>
      <c r="M15" s="1" t="s">
        <v>2744</v>
      </c>
      <c r="N15" s="1" t="s">
        <v>2744</v>
      </c>
      <c r="O15" s="1" t="s">
        <v>2744</v>
      </c>
      <c r="P15" s="1" t="s">
        <v>2744</v>
      </c>
      <c r="Q15" s="1" t="s">
        <v>2744</v>
      </c>
      <c r="R15" s="1" t="s">
        <v>2744</v>
      </c>
      <c r="S15" s="1" t="s">
        <v>2744</v>
      </c>
      <c r="T15" s="1" t="s">
        <v>2744</v>
      </c>
      <c r="U15" s="1" t="s">
        <v>2744</v>
      </c>
    </row>
    <row r="16" spans="2:21" x14ac:dyDescent="0.3">
      <c r="B16" s="18" t="s">
        <v>495</v>
      </c>
      <c r="C16" s="25" t="s">
        <v>3897</v>
      </c>
      <c r="D16" s="15" t="s">
        <v>2</v>
      </c>
      <c r="E16" s="20" t="s">
        <v>2</v>
      </c>
      <c r="F16" s="49" t="s">
        <v>2</v>
      </c>
      <c r="G16" s="51" t="s">
        <v>2</v>
      </c>
      <c r="H16" s="50" t="s">
        <v>2</v>
      </c>
      <c r="I16" s="4"/>
      <c r="J16" s="4"/>
      <c r="K16" s="4"/>
      <c r="L16" s="28"/>
      <c r="M16" s="48"/>
      <c r="N16" s="5" t="s">
        <v>2</v>
      </c>
      <c r="O16" s="5" t="s">
        <v>2</v>
      </c>
      <c r="P16" s="5" t="s">
        <v>2</v>
      </c>
      <c r="Q16" s="21" t="s">
        <v>2</v>
      </c>
      <c r="R16" s="4"/>
      <c r="S16" s="4"/>
      <c r="T16" s="4"/>
      <c r="U16" s="52" t="s">
        <v>2</v>
      </c>
    </row>
    <row r="17" spans="2:21" x14ac:dyDescent="0.3">
      <c r="B17" s="7" t="s">
        <v>2744</v>
      </c>
      <c r="C17" s="1" t="s">
        <v>2744</v>
      </c>
      <c r="D17" s="8" t="s">
        <v>2744</v>
      </c>
      <c r="E17" s="1" t="s">
        <v>2744</v>
      </c>
      <c r="F17" s="1" t="s">
        <v>2744</v>
      </c>
      <c r="G17" s="1" t="s">
        <v>2744</v>
      </c>
      <c r="H17" s="1" t="s">
        <v>2744</v>
      </c>
      <c r="I17" s="1" t="s">
        <v>2744</v>
      </c>
      <c r="J17" s="1" t="s">
        <v>2744</v>
      </c>
      <c r="K17" s="1" t="s">
        <v>2744</v>
      </c>
      <c r="L17" s="1" t="s">
        <v>2744</v>
      </c>
      <c r="M17" s="1" t="s">
        <v>2744</v>
      </c>
      <c r="N17" s="1" t="s">
        <v>2744</v>
      </c>
      <c r="O17" s="1" t="s">
        <v>2744</v>
      </c>
      <c r="P17" s="1" t="s">
        <v>2744</v>
      </c>
      <c r="Q17" s="1" t="s">
        <v>2744</v>
      </c>
      <c r="R17" s="1" t="s">
        <v>2744</v>
      </c>
      <c r="S17" s="1" t="s">
        <v>2744</v>
      </c>
      <c r="T17" s="1" t="s">
        <v>2744</v>
      </c>
      <c r="U17" s="1" t="s">
        <v>2744</v>
      </c>
    </row>
    <row r="18" spans="2:21" ht="28" x14ac:dyDescent="0.3">
      <c r="B18" s="19" t="s">
        <v>1908</v>
      </c>
      <c r="C18" s="17" t="s">
        <v>496</v>
      </c>
      <c r="D18" s="16"/>
      <c r="E18" s="2"/>
      <c r="F18" s="2"/>
      <c r="G18" s="2"/>
      <c r="H18" s="2"/>
      <c r="I18" s="3">
        <f>SUM(GMIC_22A_SCDPT6SN1!SCDPT6SN1_03BEGIN_7:GMIC_22A_SCDPT6SN1!SCDPT6SN1_03ENDIN_7)</f>
        <v>0</v>
      </c>
      <c r="J18" s="3">
        <f>SUM(GMIC_22A_SCDPT6SN1!SCDPT6SN1_03BEGIN_8:GMIC_22A_SCDPT6SN1!SCDPT6SN1_03ENDIN_8)</f>
        <v>0</v>
      </c>
      <c r="K18" s="3">
        <f>SUM(GMIC_22A_SCDPT6SN1!SCDPT6SN1_03BEGIN_9:GMIC_22A_SCDPT6SN1!SCDPT6SN1_03ENDIN_9)</f>
        <v>0</v>
      </c>
      <c r="L18" s="2"/>
      <c r="M18" s="2"/>
      <c r="N18" s="2"/>
      <c r="O18" s="2"/>
      <c r="P18" s="2"/>
      <c r="Q18" s="2"/>
      <c r="R18" s="3">
        <f>SUM(GMIC_22A_SCDPT6SN1!SCDPT6SN1_03BEGIN_16:GMIC_22A_SCDPT6SN1!SCDPT6SN1_03ENDIN_16)</f>
        <v>0</v>
      </c>
      <c r="S18" s="3">
        <f>SUM(GMIC_22A_SCDPT6SN1!SCDPT6SN1_03BEGIN_17:GMIC_22A_SCDPT6SN1!SCDPT6SN1_03ENDIN_17)</f>
        <v>0</v>
      </c>
      <c r="T18" s="3">
        <f>SUM(GMIC_22A_SCDPT6SN1!SCDPT6SN1_03BEGIN_18:GMIC_22A_SCDPT6SN1!SCDPT6SN1_03ENDIN_18)</f>
        <v>0</v>
      </c>
      <c r="U18" s="2"/>
    </row>
    <row r="19" spans="2:21" x14ac:dyDescent="0.3">
      <c r="B19" s="7" t="s">
        <v>2744</v>
      </c>
      <c r="C19" s="1" t="s">
        <v>2744</v>
      </c>
      <c r="D19" s="8" t="s">
        <v>2744</v>
      </c>
      <c r="E19" s="1" t="s">
        <v>2744</v>
      </c>
      <c r="F19" s="1" t="s">
        <v>2744</v>
      </c>
      <c r="G19" s="1" t="s">
        <v>2744</v>
      </c>
      <c r="H19" s="1" t="s">
        <v>2744</v>
      </c>
      <c r="I19" s="1" t="s">
        <v>2744</v>
      </c>
      <c r="J19" s="1" t="s">
        <v>2744</v>
      </c>
      <c r="K19" s="1" t="s">
        <v>2744</v>
      </c>
      <c r="L19" s="1" t="s">
        <v>2744</v>
      </c>
      <c r="M19" s="1" t="s">
        <v>2744</v>
      </c>
      <c r="N19" s="1" t="s">
        <v>2744</v>
      </c>
      <c r="O19" s="1" t="s">
        <v>2744</v>
      </c>
      <c r="P19" s="1" t="s">
        <v>2744</v>
      </c>
      <c r="Q19" s="1" t="s">
        <v>2744</v>
      </c>
      <c r="R19" s="1" t="s">
        <v>2744</v>
      </c>
      <c r="S19" s="1" t="s">
        <v>2744</v>
      </c>
      <c r="T19" s="1" t="s">
        <v>2744</v>
      </c>
      <c r="U19" s="1" t="s">
        <v>2744</v>
      </c>
    </row>
    <row r="20" spans="2:21" x14ac:dyDescent="0.3">
      <c r="B20" s="18" t="s">
        <v>4173</v>
      </c>
      <c r="C20" s="25" t="s">
        <v>3897</v>
      </c>
      <c r="D20" s="15" t="s">
        <v>2</v>
      </c>
      <c r="E20" s="20" t="s">
        <v>2</v>
      </c>
      <c r="F20" s="49" t="s">
        <v>2</v>
      </c>
      <c r="G20" s="51" t="s">
        <v>2</v>
      </c>
      <c r="H20" s="50" t="s">
        <v>2</v>
      </c>
      <c r="I20" s="4"/>
      <c r="J20" s="4"/>
      <c r="K20" s="4"/>
      <c r="L20" s="28"/>
      <c r="M20" s="48"/>
      <c r="N20" s="5" t="s">
        <v>2</v>
      </c>
      <c r="O20" s="5" t="s">
        <v>2</v>
      </c>
      <c r="P20" s="5" t="s">
        <v>2</v>
      </c>
      <c r="Q20" s="21" t="s">
        <v>2</v>
      </c>
      <c r="R20" s="4"/>
      <c r="S20" s="4"/>
      <c r="T20" s="4"/>
      <c r="U20" s="52" t="s">
        <v>2</v>
      </c>
    </row>
    <row r="21" spans="2:21" x14ac:dyDescent="0.3">
      <c r="B21" s="7" t="s">
        <v>2744</v>
      </c>
      <c r="C21" s="1" t="s">
        <v>2744</v>
      </c>
      <c r="D21" s="8" t="s">
        <v>2744</v>
      </c>
      <c r="E21" s="1" t="s">
        <v>2744</v>
      </c>
      <c r="F21" s="1" t="s">
        <v>2744</v>
      </c>
      <c r="G21" s="1" t="s">
        <v>2744</v>
      </c>
      <c r="H21" s="1" t="s">
        <v>2744</v>
      </c>
      <c r="I21" s="1" t="s">
        <v>2744</v>
      </c>
      <c r="J21" s="1" t="s">
        <v>2744</v>
      </c>
      <c r="K21" s="1" t="s">
        <v>2744</v>
      </c>
      <c r="L21" s="1" t="s">
        <v>2744</v>
      </c>
      <c r="M21" s="1" t="s">
        <v>2744</v>
      </c>
      <c r="N21" s="1" t="s">
        <v>2744</v>
      </c>
      <c r="O21" s="1" t="s">
        <v>2744</v>
      </c>
      <c r="P21" s="1" t="s">
        <v>2744</v>
      </c>
      <c r="Q21" s="1" t="s">
        <v>2744</v>
      </c>
      <c r="R21" s="1" t="s">
        <v>2744</v>
      </c>
      <c r="S21" s="1" t="s">
        <v>2744</v>
      </c>
      <c r="T21" s="1" t="s">
        <v>2744</v>
      </c>
      <c r="U21" s="1" t="s">
        <v>2744</v>
      </c>
    </row>
    <row r="22" spans="2:21" ht="28" x14ac:dyDescent="0.3">
      <c r="B22" s="19" t="s">
        <v>1150</v>
      </c>
      <c r="C22" s="17" t="s">
        <v>2265</v>
      </c>
      <c r="D22" s="16"/>
      <c r="E22" s="2"/>
      <c r="F22" s="2"/>
      <c r="G22" s="2"/>
      <c r="H22" s="2"/>
      <c r="I22" s="3">
        <f>SUM(GMIC_22A_SCDPT6SN1!SCDPT6SN1_04BEGIN_7:GMIC_22A_SCDPT6SN1!SCDPT6SN1_04ENDIN_7)</f>
        <v>0</v>
      </c>
      <c r="J22" s="3">
        <f>SUM(GMIC_22A_SCDPT6SN1!SCDPT6SN1_04BEGIN_8:GMIC_22A_SCDPT6SN1!SCDPT6SN1_04ENDIN_8)</f>
        <v>0</v>
      </c>
      <c r="K22" s="3">
        <f>SUM(GMIC_22A_SCDPT6SN1!SCDPT6SN1_04BEGIN_9:GMIC_22A_SCDPT6SN1!SCDPT6SN1_04ENDIN_9)</f>
        <v>0</v>
      </c>
      <c r="L22" s="2"/>
      <c r="M22" s="2"/>
      <c r="N22" s="2"/>
      <c r="O22" s="2"/>
      <c r="P22" s="2"/>
      <c r="Q22" s="2"/>
      <c r="R22" s="3">
        <f>SUM(GMIC_22A_SCDPT6SN1!SCDPT6SN1_04BEGIN_16:GMIC_22A_SCDPT6SN1!SCDPT6SN1_04ENDIN_16)</f>
        <v>0</v>
      </c>
      <c r="S22" s="3">
        <f>SUM(GMIC_22A_SCDPT6SN1!SCDPT6SN1_04BEGIN_17:GMIC_22A_SCDPT6SN1!SCDPT6SN1_04ENDIN_17)</f>
        <v>0</v>
      </c>
      <c r="T22" s="3">
        <f>SUM(GMIC_22A_SCDPT6SN1!SCDPT6SN1_04BEGIN_18:GMIC_22A_SCDPT6SN1!SCDPT6SN1_04ENDIN_18)</f>
        <v>0</v>
      </c>
      <c r="U22" s="2"/>
    </row>
    <row r="23" spans="2:21" x14ac:dyDescent="0.3">
      <c r="B23" s="7" t="s">
        <v>2744</v>
      </c>
      <c r="C23" s="1" t="s">
        <v>2744</v>
      </c>
      <c r="D23" s="8" t="s">
        <v>2744</v>
      </c>
      <c r="E23" s="1" t="s">
        <v>2744</v>
      </c>
      <c r="F23" s="1" t="s">
        <v>2744</v>
      </c>
      <c r="G23" s="1" t="s">
        <v>2744</v>
      </c>
      <c r="H23" s="1" t="s">
        <v>2744</v>
      </c>
      <c r="I23" s="1" t="s">
        <v>2744</v>
      </c>
      <c r="J23" s="1" t="s">
        <v>2744</v>
      </c>
      <c r="K23" s="1" t="s">
        <v>2744</v>
      </c>
      <c r="L23" s="1" t="s">
        <v>2744</v>
      </c>
      <c r="M23" s="1" t="s">
        <v>2744</v>
      </c>
      <c r="N23" s="1" t="s">
        <v>2744</v>
      </c>
      <c r="O23" s="1" t="s">
        <v>2744</v>
      </c>
      <c r="P23" s="1" t="s">
        <v>2744</v>
      </c>
      <c r="Q23" s="1" t="s">
        <v>2744</v>
      </c>
      <c r="R23" s="1" t="s">
        <v>2744</v>
      </c>
      <c r="S23" s="1" t="s">
        <v>2744</v>
      </c>
      <c r="T23" s="1" t="s">
        <v>2744</v>
      </c>
      <c r="U23" s="1" t="s">
        <v>2744</v>
      </c>
    </row>
    <row r="24" spans="2:21" x14ac:dyDescent="0.3">
      <c r="B24" s="18" t="s">
        <v>3402</v>
      </c>
      <c r="C24" s="25" t="s">
        <v>3897</v>
      </c>
      <c r="D24" s="15" t="s">
        <v>2</v>
      </c>
      <c r="E24" s="20" t="s">
        <v>2</v>
      </c>
      <c r="F24" s="49" t="s">
        <v>2</v>
      </c>
      <c r="G24" s="51" t="s">
        <v>2</v>
      </c>
      <c r="H24" s="50" t="s">
        <v>2</v>
      </c>
      <c r="I24" s="4"/>
      <c r="J24" s="4"/>
      <c r="K24" s="4"/>
      <c r="L24" s="28"/>
      <c r="M24" s="48"/>
      <c r="N24" s="5" t="s">
        <v>2</v>
      </c>
      <c r="O24" s="5" t="s">
        <v>2</v>
      </c>
      <c r="P24" s="5" t="s">
        <v>2</v>
      </c>
      <c r="Q24" s="21" t="s">
        <v>2</v>
      </c>
      <c r="R24" s="4"/>
      <c r="S24" s="4"/>
      <c r="T24" s="4"/>
      <c r="U24" s="52" t="s">
        <v>2</v>
      </c>
    </row>
    <row r="25" spans="2:21" x14ac:dyDescent="0.3">
      <c r="B25" s="7" t="s">
        <v>2744</v>
      </c>
      <c r="C25" s="1" t="s">
        <v>2744</v>
      </c>
      <c r="D25" s="8" t="s">
        <v>2744</v>
      </c>
      <c r="E25" s="1" t="s">
        <v>2744</v>
      </c>
      <c r="F25" s="1" t="s">
        <v>2744</v>
      </c>
      <c r="G25" s="1" t="s">
        <v>2744</v>
      </c>
      <c r="H25" s="1" t="s">
        <v>2744</v>
      </c>
      <c r="I25" s="1" t="s">
        <v>2744</v>
      </c>
      <c r="J25" s="1" t="s">
        <v>2744</v>
      </c>
      <c r="K25" s="1" t="s">
        <v>2744</v>
      </c>
      <c r="L25" s="1" t="s">
        <v>2744</v>
      </c>
      <c r="M25" s="1" t="s">
        <v>2744</v>
      </c>
      <c r="N25" s="1" t="s">
        <v>2744</v>
      </c>
      <c r="O25" s="1" t="s">
        <v>2744</v>
      </c>
      <c r="P25" s="1" t="s">
        <v>2744</v>
      </c>
      <c r="Q25" s="1" t="s">
        <v>2744</v>
      </c>
      <c r="R25" s="1" t="s">
        <v>2744</v>
      </c>
      <c r="S25" s="1" t="s">
        <v>2744</v>
      </c>
      <c r="T25" s="1" t="s">
        <v>2744</v>
      </c>
      <c r="U25" s="1" t="s">
        <v>2744</v>
      </c>
    </row>
    <row r="26" spans="2:21" ht="28" x14ac:dyDescent="0.3">
      <c r="B26" s="19" t="s">
        <v>256</v>
      </c>
      <c r="C26" s="17" t="s">
        <v>257</v>
      </c>
      <c r="D26" s="16"/>
      <c r="E26" s="2"/>
      <c r="F26" s="2"/>
      <c r="G26" s="2"/>
      <c r="H26" s="2"/>
      <c r="I26" s="3">
        <f>SUM(GMIC_22A_SCDPT6SN1!SCDPT6SN1_05BEGIN_7:GMIC_22A_SCDPT6SN1!SCDPT6SN1_05ENDIN_7)</f>
        <v>0</v>
      </c>
      <c r="J26" s="3">
        <f>SUM(GMIC_22A_SCDPT6SN1!SCDPT6SN1_05BEGIN_8:GMIC_22A_SCDPT6SN1!SCDPT6SN1_05ENDIN_8)</f>
        <v>0</v>
      </c>
      <c r="K26" s="3">
        <f>SUM(GMIC_22A_SCDPT6SN1!SCDPT6SN1_05BEGIN_9:GMIC_22A_SCDPT6SN1!SCDPT6SN1_05ENDIN_9)</f>
        <v>0</v>
      </c>
      <c r="L26" s="2"/>
      <c r="M26" s="2"/>
      <c r="N26" s="2"/>
      <c r="O26" s="2"/>
      <c r="P26" s="2"/>
      <c r="Q26" s="2"/>
      <c r="R26" s="3">
        <f>SUM(GMIC_22A_SCDPT6SN1!SCDPT6SN1_05BEGIN_16:GMIC_22A_SCDPT6SN1!SCDPT6SN1_05ENDIN_16)</f>
        <v>0</v>
      </c>
      <c r="S26" s="3">
        <f>SUM(GMIC_22A_SCDPT6SN1!SCDPT6SN1_05BEGIN_17:GMIC_22A_SCDPT6SN1!SCDPT6SN1_05ENDIN_17)</f>
        <v>0</v>
      </c>
      <c r="T26" s="3">
        <f>SUM(GMIC_22A_SCDPT6SN1!SCDPT6SN1_05BEGIN_18:GMIC_22A_SCDPT6SN1!SCDPT6SN1_05ENDIN_18)</f>
        <v>0</v>
      </c>
      <c r="U26" s="2"/>
    </row>
    <row r="27" spans="2:21" x14ac:dyDescent="0.3">
      <c r="B27" s="7" t="s">
        <v>2744</v>
      </c>
      <c r="C27" s="1" t="s">
        <v>2744</v>
      </c>
      <c r="D27" s="8" t="s">
        <v>2744</v>
      </c>
      <c r="E27" s="1" t="s">
        <v>2744</v>
      </c>
      <c r="F27" s="1" t="s">
        <v>2744</v>
      </c>
      <c r="G27" s="1" t="s">
        <v>2744</v>
      </c>
      <c r="H27" s="1" t="s">
        <v>2744</v>
      </c>
      <c r="I27" s="1" t="s">
        <v>2744</v>
      </c>
      <c r="J27" s="1" t="s">
        <v>2744</v>
      </c>
      <c r="K27" s="1" t="s">
        <v>2744</v>
      </c>
      <c r="L27" s="1" t="s">
        <v>2744</v>
      </c>
      <c r="M27" s="1" t="s">
        <v>2744</v>
      </c>
      <c r="N27" s="1" t="s">
        <v>2744</v>
      </c>
      <c r="O27" s="1" t="s">
        <v>2744</v>
      </c>
      <c r="P27" s="1" t="s">
        <v>2744</v>
      </c>
      <c r="Q27" s="1" t="s">
        <v>2744</v>
      </c>
      <c r="R27" s="1" t="s">
        <v>2744</v>
      </c>
      <c r="S27" s="1" t="s">
        <v>2744</v>
      </c>
      <c r="T27" s="1" t="s">
        <v>2744</v>
      </c>
      <c r="U27" s="1" t="s">
        <v>2744</v>
      </c>
    </row>
    <row r="28" spans="2:21" x14ac:dyDescent="0.3">
      <c r="B28" s="18" t="s">
        <v>2737</v>
      </c>
      <c r="C28" s="25" t="s">
        <v>3897</v>
      </c>
      <c r="D28" s="15" t="s">
        <v>2</v>
      </c>
      <c r="E28" s="20" t="s">
        <v>2</v>
      </c>
      <c r="F28" s="49" t="s">
        <v>2</v>
      </c>
      <c r="G28" s="51" t="s">
        <v>2</v>
      </c>
      <c r="H28" s="50" t="s">
        <v>2</v>
      </c>
      <c r="I28" s="4"/>
      <c r="J28" s="4"/>
      <c r="K28" s="4"/>
      <c r="L28" s="28"/>
      <c r="M28" s="48"/>
      <c r="N28" s="5" t="s">
        <v>2</v>
      </c>
      <c r="O28" s="5" t="s">
        <v>2</v>
      </c>
      <c r="P28" s="5" t="s">
        <v>2</v>
      </c>
      <c r="Q28" s="21" t="s">
        <v>2</v>
      </c>
      <c r="R28" s="4"/>
      <c r="S28" s="4"/>
      <c r="T28" s="4"/>
      <c r="U28" s="52" t="s">
        <v>2</v>
      </c>
    </row>
    <row r="29" spans="2:21" x14ac:dyDescent="0.3">
      <c r="B29" s="7" t="s">
        <v>2744</v>
      </c>
      <c r="C29" s="1" t="s">
        <v>2744</v>
      </c>
      <c r="D29" s="8" t="s">
        <v>2744</v>
      </c>
      <c r="E29" s="1" t="s">
        <v>2744</v>
      </c>
      <c r="F29" s="1" t="s">
        <v>2744</v>
      </c>
      <c r="G29" s="1" t="s">
        <v>2744</v>
      </c>
      <c r="H29" s="1" t="s">
        <v>2744</v>
      </c>
      <c r="I29" s="1" t="s">
        <v>2744</v>
      </c>
      <c r="J29" s="1" t="s">
        <v>2744</v>
      </c>
      <c r="K29" s="1" t="s">
        <v>2744</v>
      </c>
      <c r="L29" s="1" t="s">
        <v>2744</v>
      </c>
      <c r="M29" s="1" t="s">
        <v>2744</v>
      </c>
      <c r="N29" s="1" t="s">
        <v>2744</v>
      </c>
      <c r="O29" s="1" t="s">
        <v>2744</v>
      </c>
      <c r="P29" s="1" t="s">
        <v>2744</v>
      </c>
      <c r="Q29" s="1" t="s">
        <v>2744</v>
      </c>
      <c r="R29" s="1" t="s">
        <v>2744</v>
      </c>
      <c r="S29" s="1" t="s">
        <v>2744</v>
      </c>
      <c r="T29" s="1" t="s">
        <v>2744</v>
      </c>
      <c r="U29" s="1" t="s">
        <v>2744</v>
      </c>
    </row>
    <row r="30" spans="2:21" ht="28" x14ac:dyDescent="0.3">
      <c r="B30" s="19" t="s">
        <v>4174</v>
      </c>
      <c r="C30" s="17" t="s">
        <v>3647</v>
      </c>
      <c r="D30" s="16"/>
      <c r="E30" s="2"/>
      <c r="F30" s="2"/>
      <c r="G30" s="2"/>
      <c r="H30" s="2"/>
      <c r="I30" s="3">
        <f>SUM(GMIC_22A_SCDPT6SN1!SCDPT6SN1_06BEGIN_7:GMIC_22A_SCDPT6SN1!SCDPT6SN1_06ENDIN_7)</f>
        <v>0</v>
      </c>
      <c r="J30" s="3">
        <f>SUM(GMIC_22A_SCDPT6SN1!SCDPT6SN1_06BEGIN_8:GMIC_22A_SCDPT6SN1!SCDPT6SN1_06ENDIN_8)</f>
        <v>0</v>
      </c>
      <c r="K30" s="3">
        <f>SUM(GMIC_22A_SCDPT6SN1!SCDPT6SN1_06BEGIN_9:GMIC_22A_SCDPT6SN1!SCDPT6SN1_06ENDIN_9)</f>
        <v>0</v>
      </c>
      <c r="L30" s="2"/>
      <c r="M30" s="2"/>
      <c r="N30" s="2"/>
      <c r="O30" s="2"/>
      <c r="P30" s="2"/>
      <c r="Q30" s="2"/>
      <c r="R30" s="3">
        <f>SUM(GMIC_22A_SCDPT6SN1!SCDPT6SN1_06BEGIN_16:GMIC_22A_SCDPT6SN1!SCDPT6SN1_06ENDIN_16)</f>
        <v>0</v>
      </c>
      <c r="S30" s="3">
        <f>SUM(GMIC_22A_SCDPT6SN1!SCDPT6SN1_06BEGIN_17:GMIC_22A_SCDPT6SN1!SCDPT6SN1_06ENDIN_17)</f>
        <v>0</v>
      </c>
      <c r="T30" s="3">
        <f>SUM(GMIC_22A_SCDPT6SN1!SCDPT6SN1_06BEGIN_18:GMIC_22A_SCDPT6SN1!SCDPT6SN1_06ENDIN_18)</f>
        <v>0</v>
      </c>
      <c r="U30" s="2"/>
    </row>
    <row r="31" spans="2:21" x14ac:dyDescent="0.3">
      <c r="B31" s="7" t="s">
        <v>2744</v>
      </c>
      <c r="C31" s="1" t="s">
        <v>2744</v>
      </c>
      <c r="D31" s="8" t="s">
        <v>2744</v>
      </c>
      <c r="E31" s="1" t="s">
        <v>2744</v>
      </c>
      <c r="F31" s="1" t="s">
        <v>2744</v>
      </c>
      <c r="G31" s="1" t="s">
        <v>2744</v>
      </c>
      <c r="H31" s="1" t="s">
        <v>2744</v>
      </c>
      <c r="I31" s="1" t="s">
        <v>2744</v>
      </c>
      <c r="J31" s="1" t="s">
        <v>2744</v>
      </c>
      <c r="K31" s="1" t="s">
        <v>2744</v>
      </c>
      <c r="L31" s="1" t="s">
        <v>2744</v>
      </c>
      <c r="M31" s="1" t="s">
        <v>2744</v>
      </c>
      <c r="N31" s="1" t="s">
        <v>2744</v>
      </c>
      <c r="O31" s="1" t="s">
        <v>2744</v>
      </c>
      <c r="P31" s="1" t="s">
        <v>2744</v>
      </c>
      <c r="Q31" s="1" t="s">
        <v>2744</v>
      </c>
      <c r="R31" s="1" t="s">
        <v>2744</v>
      </c>
      <c r="S31" s="1" t="s">
        <v>2744</v>
      </c>
      <c r="T31" s="1" t="s">
        <v>2744</v>
      </c>
      <c r="U31" s="1" t="s">
        <v>2744</v>
      </c>
    </row>
    <row r="32" spans="2:21" x14ac:dyDescent="0.3">
      <c r="B32" s="18" t="s">
        <v>1909</v>
      </c>
      <c r="C32" s="25" t="s">
        <v>3897</v>
      </c>
      <c r="D32" s="15" t="s">
        <v>2</v>
      </c>
      <c r="E32" s="20" t="s">
        <v>2</v>
      </c>
      <c r="F32" s="49" t="s">
        <v>2</v>
      </c>
      <c r="G32" s="51" t="s">
        <v>2</v>
      </c>
      <c r="H32" s="50" t="s">
        <v>2</v>
      </c>
      <c r="I32" s="4"/>
      <c r="J32" s="4"/>
      <c r="K32" s="4"/>
      <c r="L32" s="28"/>
      <c r="M32" s="48"/>
      <c r="N32" s="5" t="s">
        <v>2</v>
      </c>
      <c r="O32" s="5" t="s">
        <v>2</v>
      </c>
      <c r="P32" s="5" t="s">
        <v>2</v>
      </c>
      <c r="Q32" s="21" t="s">
        <v>2</v>
      </c>
      <c r="R32" s="4"/>
      <c r="S32" s="4"/>
      <c r="T32" s="4"/>
      <c r="U32" s="52" t="s">
        <v>2</v>
      </c>
    </row>
    <row r="33" spans="2:21" x14ac:dyDescent="0.3">
      <c r="B33" s="7" t="s">
        <v>2744</v>
      </c>
      <c r="C33" s="1" t="s">
        <v>2744</v>
      </c>
      <c r="D33" s="8" t="s">
        <v>2744</v>
      </c>
      <c r="E33" s="1" t="s">
        <v>2744</v>
      </c>
      <c r="F33" s="1" t="s">
        <v>2744</v>
      </c>
      <c r="G33" s="1" t="s">
        <v>2744</v>
      </c>
      <c r="H33" s="1" t="s">
        <v>2744</v>
      </c>
      <c r="I33" s="1" t="s">
        <v>2744</v>
      </c>
      <c r="J33" s="1" t="s">
        <v>2744</v>
      </c>
      <c r="K33" s="1" t="s">
        <v>2744</v>
      </c>
      <c r="L33" s="1" t="s">
        <v>2744</v>
      </c>
      <c r="M33" s="1" t="s">
        <v>2744</v>
      </c>
      <c r="N33" s="1" t="s">
        <v>2744</v>
      </c>
      <c r="O33" s="1" t="s">
        <v>2744</v>
      </c>
      <c r="P33" s="1" t="s">
        <v>2744</v>
      </c>
      <c r="Q33" s="1" t="s">
        <v>2744</v>
      </c>
      <c r="R33" s="1" t="s">
        <v>2744</v>
      </c>
      <c r="S33" s="1" t="s">
        <v>2744</v>
      </c>
      <c r="T33" s="1" t="s">
        <v>2744</v>
      </c>
      <c r="U33" s="1" t="s">
        <v>2744</v>
      </c>
    </row>
    <row r="34" spans="2:21" ht="28" x14ac:dyDescent="0.3">
      <c r="B34" s="19" t="s">
        <v>3403</v>
      </c>
      <c r="C34" s="17" t="s">
        <v>2738</v>
      </c>
      <c r="D34" s="16"/>
      <c r="E34" s="2"/>
      <c r="F34" s="2"/>
      <c r="G34" s="2"/>
      <c r="H34" s="2"/>
      <c r="I34" s="3">
        <f>SUM(GMIC_22A_SCDPT6SN1!SCDPT6SN1_07BEGIN_7:GMIC_22A_SCDPT6SN1!SCDPT6SN1_07ENDIN_7)</f>
        <v>0</v>
      </c>
      <c r="J34" s="3">
        <f>SUM(GMIC_22A_SCDPT6SN1!SCDPT6SN1_07BEGIN_8:GMIC_22A_SCDPT6SN1!SCDPT6SN1_07ENDIN_8)</f>
        <v>0</v>
      </c>
      <c r="K34" s="3">
        <f>SUM(GMIC_22A_SCDPT6SN1!SCDPT6SN1_07BEGIN_9:GMIC_22A_SCDPT6SN1!SCDPT6SN1_07ENDIN_9)</f>
        <v>0</v>
      </c>
      <c r="L34" s="2"/>
      <c r="M34" s="2"/>
      <c r="N34" s="2"/>
      <c r="O34" s="2"/>
      <c r="P34" s="2"/>
      <c r="Q34" s="2"/>
      <c r="R34" s="3">
        <f>SUM(GMIC_22A_SCDPT6SN1!SCDPT6SN1_07BEGIN_16:GMIC_22A_SCDPT6SN1!SCDPT6SN1_07ENDIN_16)</f>
        <v>0</v>
      </c>
      <c r="S34" s="3">
        <f>SUM(GMIC_22A_SCDPT6SN1!SCDPT6SN1_07BEGIN_17:GMIC_22A_SCDPT6SN1!SCDPT6SN1_07ENDIN_17)</f>
        <v>0</v>
      </c>
      <c r="T34" s="3">
        <f>SUM(GMIC_22A_SCDPT6SN1!SCDPT6SN1_07BEGIN_18:GMIC_22A_SCDPT6SN1!SCDPT6SN1_07ENDIN_18)</f>
        <v>0</v>
      </c>
      <c r="U34" s="2"/>
    </row>
    <row r="35" spans="2:21" x14ac:dyDescent="0.3">
      <c r="B35" s="7" t="s">
        <v>2744</v>
      </c>
      <c r="C35" s="1" t="s">
        <v>2744</v>
      </c>
      <c r="D35" s="8" t="s">
        <v>2744</v>
      </c>
      <c r="E35" s="1" t="s">
        <v>2744</v>
      </c>
      <c r="F35" s="1" t="s">
        <v>2744</v>
      </c>
      <c r="G35" s="1" t="s">
        <v>2744</v>
      </c>
      <c r="H35" s="1" t="s">
        <v>2744</v>
      </c>
      <c r="I35" s="1" t="s">
        <v>2744</v>
      </c>
      <c r="J35" s="1" t="s">
        <v>2744</v>
      </c>
      <c r="K35" s="1" t="s">
        <v>2744</v>
      </c>
      <c r="L35" s="1" t="s">
        <v>2744</v>
      </c>
      <c r="M35" s="1" t="s">
        <v>2744</v>
      </c>
      <c r="N35" s="1" t="s">
        <v>2744</v>
      </c>
      <c r="O35" s="1" t="s">
        <v>2744</v>
      </c>
      <c r="P35" s="1" t="s">
        <v>2744</v>
      </c>
      <c r="Q35" s="1" t="s">
        <v>2744</v>
      </c>
      <c r="R35" s="1" t="s">
        <v>2744</v>
      </c>
      <c r="S35" s="1" t="s">
        <v>2744</v>
      </c>
      <c r="T35" s="1" t="s">
        <v>2744</v>
      </c>
      <c r="U35" s="1" t="s">
        <v>2744</v>
      </c>
    </row>
    <row r="36" spans="2:21" x14ac:dyDescent="0.3">
      <c r="B36" s="18" t="s">
        <v>1151</v>
      </c>
      <c r="C36" s="25" t="s">
        <v>3897</v>
      </c>
      <c r="D36" s="15" t="s">
        <v>2</v>
      </c>
      <c r="E36" s="20" t="s">
        <v>2</v>
      </c>
      <c r="F36" s="49" t="s">
        <v>2</v>
      </c>
      <c r="G36" s="51" t="s">
        <v>2</v>
      </c>
      <c r="H36" s="50" t="s">
        <v>2</v>
      </c>
      <c r="I36" s="4"/>
      <c r="J36" s="4"/>
      <c r="K36" s="4"/>
      <c r="L36" s="28"/>
      <c r="M36" s="48"/>
      <c r="N36" s="5" t="s">
        <v>2</v>
      </c>
      <c r="O36" s="5" t="s">
        <v>2</v>
      </c>
      <c r="P36" s="5" t="s">
        <v>2</v>
      </c>
      <c r="Q36" s="21" t="s">
        <v>2</v>
      </c>
      <c r="R36" s="4"/>
      <c r="S36" s="4"/>
      <c r="T36" s="4"/>
      <c r="U36" s="52" t="s">
        <v>2</v>
      </c>
    </row>
    <row r="37" spans="2:21" x14ac:dyDescent="0.3">
      <c r="B37" s="7" t="s">
        <v>2744</v>
      </c>
      <c r="C37" s="1" t="s">
        <v>2744</v>
      </c>
      <c r="D37" s="8" t="s">
        <v>2744</v>
      </c>
      <c r="E37" s="1" t="s">
        <v>2744</v>
      </c>
      <c r="F37" s="1" t="s">
        <v>2744</v>
      </c>
      <c r="G37" s="1" t="s">
        <v>2744</v>
      </c>
      <c r="H37" s="1" t="s">
        <v>2744</v>
      </c>
      <c r="I37" s="1" t="s">
        <v>2744</v>
      </c>
      <c r="J37" s="1" t="s">
        <v>2744</v>
      </c>
      <c r="K37" s="1" t="s">
        <v>2744</v>
      </c>
      <c r="L37" s="1" t="s">
        <v>2744</v>
      </c>
      <c r="M37" s="1" t="s">
        <v>2744</v>
      </c>
      <c r="N37" s="1" t="s">
        <v>2744</v>
      </c>
      <c r="O37" s="1" t="s">
        <v>2744</v>
      </c>
      <c r="P37" s="1" t="s">
        <v>2744</v>
      </c>
      <c r="Q37" s="1" t="s">
        <v>2744</v>
      </c>
      <c r="R37" s="1" t="s">
        <v>2744</v>
      </c>
      <c r="S37" s="1" t="s">
        <v>2744</v>
      </c>
      <c r="T37" s="1" t="s">
        <v>2744</v>
      </c>
      <c r="U37" s="1" t="s">
        <v>2744</v>
      </c>
    </row>
    <row r="38" spans="2:21" ht="28" x14ac:dyDescent="0.3">
      <c r="B38" s="19" t="s">
        <v>2523</v>
      </c>
      <c r="C38" s="17" t="s">
        <v>1152</v>
      </c>
      <c r="D38" s="16"/>
      <c r="E38" s="2"/>
      <c r="F38" s="2"/>
      <c r="G38" s="2"/>
      <c r="H38" s="2"/>
      <c r="I38" s="3">
        <f>SUM(GMIC_22A_SCDPT6SN1!SCDPT6SN1_08BEGIN_7:GMIC_22A_SCDPT6SN1!SCDPT6SN1_08ENDIN_7)</f>
        <v>0</v>
      </c>
      <c r="J38" s="3">
        <f>SUM(GMIC_22A_SCDPT6SN1!SCDPT6SN1_08BEGIN_8:GMIC_22A_SCDPT6SN1!SCDPT6SN1_08ENDIN_8)</f>
        <v>0</v>
      </c>
      <c r="K38" s="3">
        <f>SUM(GMIC_22A_SCDPT6SN1!SCDPT6SN1_08BEGIN_9:GMIC_22A_SCDPT6SN1!SCDPT6SN1_08ENDIN_9)</f>
        <v>0</v>
      </c>
      <c r="L38" s="2"/>
      <c r="M38" s="2"/>
      <c r="N38" s="2"/>
      <c r="O38" s="2"/>
      <c r="P38" s="2"/>
      <c r="Q38" s="2"/>
      <c r="R38" s="3">
        <f>SUM(GMIC_22A_SCDPT6SN1!SCDPT6SN1_08BEGIN_16:GMIC_22A_SCDPT6SN1!SCDPT6SN1_08ENDIN_16)</f>
        <v>0</v>
      </c>
      <c r="S38" s="3">
        <f>SUM(GMIC_22A_SCDPT6SN1!SCDPT6SN1_08BEGIN_17:GMIC_22A_SCDPT6SN1!SCDPT6SN1_08ENDIN_17)</f>
        <v>0</v>
      </c>
      <c r="T38" s="3">
        <f>SUM(GMIC_22A_SCDPT6SN1!SCDPT6SN1_08BEGIN_18:GMIC_22A_SCDPT6SN1!SCDPT6SN1_08ENDIN_18)</f>
        <v>0</v>
      </c>
      <c r="U38" s="2"/>
    </row>
    <row r="39" spans="2:21" x14ac:dyDescent="0.3">
      <c r="B39" s="19" t="s">
        <v>1610</v>
      </c>
      <c r="C39" s="17" t="s">
        <v>2739</v>
      </c>
      <c r="D39" s="16"/>
      <c r="E39" s="2"/>
      <c r="F39" s="2"/>
      <c r="G39" s="2"/>
      <c r="H39" s="2"/>
      <c r="I39" s="3">
        <f>GMIC_22A_SCDPT6SN1!SCDPT6SN1_0199999_7+GMIC_22A_SCDPT6SN1!SCDPT6SN1_0299999_7+GMIC_22A_SCDPT6SN1!SCDPT6SN1_0399999_7+GMIC_22A_SCDPT6SN1!SCDPT6SN1_0499999_7+GMIC_22A_SCDPT6SN1!SCDPT6SN1_0599999_7+GMIC_22A_SCDPT6SN1!SCDPT6SN1_0699999_7+GMIC_22A_SCDPT6SN1!SCDPT6SN1_0799999_7+GMIC_22A_SCDPT6SN1!SCDPT6SN1_0899999_7</f>
        <v>0</v>
      </c>
      <c r="J39" s="3">
        <f>GMIC_22A_SCDPT6SN1!SCDPT6SN1_0199999_8+GMIC_22A_SCDPT6SN1!SCDPT6SN1_0299999_8+GMIC_22A_SCDPT6SN1!SCDPT6SN1_0399999_8+GMIC_22A_SCDPT6SN1!SCDPT6SN1_0499999_8+GMIC_22A_SCDPT6SN1!SCDPT6SN1_0599999_8+GMIC_22A_SCDPT6SN1!SCDPT6SN1_0699999_8+GMIC_22A_SCDPT6SN1!SCDPT6SN1_0799999_8+GMIC_22A_SCDPT6SN1!SCDPT6SN1_0899999_8</f>
        <v>0</v>
      </c>
      <c r="K39" s="3">
        <f>GMIC_22A_SCDPT6SN1!SCDPT6SN1_0199999_9+GMIC_22A_SCDPT6SN1!SCDPT6SN1_0299999_9+GMIC_22A_SCDPT6SN1!SCDPT6SN1_0399999_9+GMIC_22A_SCDPT6SN1!SCDPT6SN1_0499999_9+GMIC_22A_SCDPT6SN1!SCDPT6SN1_0599999_9+GMIC_22A_SCDPT6SN1!SCDPT6SN1_0699999_9+GMIC_22A_SCDPT6SN1!SCDPT6SN1_0799999_9+GMIC_22A_SCDPT6SN1!SCDPT6SN1_0899999_9</f>
        <v>0</v>
      </c>
      <c r="L39" s="2"/>
      <c r="M39" s="2"/>
      <c r="N39" s="2"/>
      <c r="O39" s="2"/>
      <c r="P39" s="2"/>
      <c r="Q39" s="2"/>
      <c r="R39" s="3">
        <f>GMIC_22A_SCDPT6SN1!SCDPT6SN1_0199999_16+GMIC_22A_SCDPT6SN1!SCDPT6SN1_0299999_16+GMIC_22A_SCDPT6SN1!SCDPT6SN1_0399999_16+GMIC_22A_SCDPT6SN1!SCDPT6SN1_0499999_16+GMIC_22A_SCDPT6SN1!SCDPT6SN1_0599999_16+GMIC_22A_SCDPT6SN1!SCDPT6SN1_0699999_16+GMIC_22A_SCDPT6SN1!SCDPT6SN1_0799999_16+GMIC_22A_SCDPT6SN1!SCDPT6SN1_0899999_16</f>
        <v>0</v>
      </c>
      <c r="S39" s="3">
        <f>GMIC_22A_SCDPT6SN1!SCDPT6SN1_0199999_17+GMIC_22A_SCDPT6SN1!SCDPT6SN1_0299999_17+GMIC_22A_SCDPT6SN1!SCDPT6SN1_0399999_17+GMIC_22A_SCDPT6SN1!SCDPT6SN1_0499999_17+GMIC_22A_SCDPT6SN1!SCDPT6SN1_0599999_17+GMIC_22A_SCDPT6SN1!SCDPT6SN1_0699999_17+GMIC_22A_SCDPT6SN1!SCDPT6SN1_0799999_17+GMIC_22A_SCDPT6SN1!SCDPT6SN1_0899999_17</f>
        <v>0</v>
      </c>
      <c r="T39" s="3">
        <f>GMIC_22A_SCDPT6SN1!SCDPT6SN1_0199999_18+GMIC_22A_SCDPT6SN1!SCDPT6SN1_0299999_18+GMIC_22A_SCDPT6SN1!SCDPT6SN1_0399999_18+GMIC_22A_SCDPT6SN1!SCDPT6SN1_0499999_18+GMIC_22A_SCDPT6SN1!SCDPT6SN1_0599999_18+GMIC_22A_SCDPT6SN1!SCDPT6SN1_0699999_18+GMIC_22A_SCDPT6SN1!SCDPT6SN1_0799999_18+GMIC_22A_SCDPT6SN1!SCDPT6SN1_0899999_18</f>
        <v>0</v>
      </c>
      <c r="U39" s="2"/>
    </row>
    <row r="40" spans="2:21" x14ac:dyDescent="0.3">
      <c r="B40" s="7" t="s">
        <v>2744</v>
      </c>
      <c r="C40" s="1" t="s">
        <v>2744</v>
      </c>
      <c r="D40" s="8" t="s">
        <v>2744</v>
      </c>
      <c r="E40" s="1" t="s">
        <v>2744</v>
      </c>
      <c r="F40" s="1" t="s">
        <v>2744</v>
      </c>
      <c r="G40" s="1" t="s">
        <v>2744</v>
      </c>
      <c r="H40" s="1" t="s">
        <v>2744</v>
      </c>
      <c r="I40" s="1" t="s">
        <v>2744</v>
      </c>
      <c r="J40" s="1" t="s">
        <v>2744</v>
      </c>
      <c r="K40" s="1" t="s">
        <v>2744</v>
      </c>
      <c r="L40" s="1" t="s">
        <v>2744</v>
      </c>
      <c r="M40" s="1" t="s">
        <v>2744</v>
      </c>
      <c r="N40" s="1" t="s">
        <v>2744</v>
      </c>
      <c r="O40" s="1" t="s">
        <v>2744</v>
      </c>
      <c r="P40" s="1" t="s">
        <v>2744</v>
      </c>
      <c r="Q40" s="1" t="s">
        <v>2744</v>
      </c>
      <c r="R40" s="1" t="s">
        <v>2744</v>
      </c>
      <c r="S40" s="1" t="s">
        <v>2744</v>
      </c>
      <c r="T40" s="1" t="s">
        <v>2744</v>
      </c>
      <c r="U40" s="1" t="s">
        <v>2744</v>
      </c>
    </row>
    <row r="41" spans="2:21" x14ac:dyDescent="0.3">
      <c r="B41" s="18" t="s">
        <v>1153</v>
      </c>
      <c r="C41" s="25" t="s">
        <v>3897</v>
      </c>
      <c r="D41" s="15" t="s">
        <v>2</v>
      </c>
      <c r="E41" s="20" t="s">
        <v>2</v>
      </c>
      <c r="F41" s="49" t="s">
        <v>2</v>
      </c>
      <c r="G41" s="51" t="s">
        <v>2</v>
      </c>
      <c r="H41" s="50" t="s">
        <v>2</v>
      </c>
      <c r="I41" s="4"/>
      <c r="J41" s="4"/>
      <c r="K41" s="4"/>
      <c r="L41" s="28"/>
      <c r="M41" s="48"/>
      <c r="N41" s="5" t="s">
        <v>2</v>
      </c>
      <c r="O41" s="5" t="s">
        <v>2</v>
      </c>
      <c r="P41" s="5" t="s">
        <v>2</v>
      </c>
      <c r="Q41" s="21" t="s">
        <v>2</v>
      </c>
      <c r="R41" s="4"/>
      <c r="S41" s="4"/>
      <c r="T41" s="4"/>
      <c r="U41" s="52" t="s">
        <v>2</v>
      </c>
    </row>
    <row r="42" spans="2:21" x14ac:dyDescent="0.3">
      <c r="B42" s="7" t="s">
        <v>2744</v>
      </c>
      <c r="C42" s="1" t="s">
        <v>2744</v>
      </c>
      <c r="D42" s="8" t="s">
        <v>2744</v>
      </c>
      <c r="E42" s="1" t="s">
        <v>2744</v>
      </c>
      <c r="F42" s="1" t="s">
        <v>2744</v>
      </c>
      <c r="G42" s="1" t="s">
        <v>2744</v>
      </c>
      <c r="H42" s="1" t="s">
        <v>2744</v>
      </c>
      <c r="I42" s="1" t="s">
        <v>2744</v>
      </c>
      <c r="J42" s="1" t="s">
        <v>2744</v>
      </c>
      <c r="K42" s="1" t="s">
        <v>2744</v>
      </c>
      <c r="L42" s="1" t="s">
        <v>2744</v>
      </c>
      <c r="M42" s="1" t="s">
        <v>2744</v>
      </c>
      <c r="N42" s="1" t="s">
        <v>2744</v>
      </c>
      <c r="O42" s="1" t="s">
        <v>2744</v>
      </c>
      <c r="P42" s="1" t="s">
        <v>2744</v>
      </c>
      <c r="Q42" s="1" t="s">
        <v>2744</v>
      </c>
      <c r="R42" s="1" t="s">
        <v>2744</v>
      </c>
      <c r="S42" s="1" t="s">
        <v>2744</v>
      </c>
      <c r="T42" s="1" t="s">
        <v>2744</v>
      </c>
      <c r="U42" s="1" t="s">
        <v>2744</v>
      </c>
    </row>
    <row r="43" spans="2:21" ht="28" x14ac:dyDescent="0.3">
      <c r="B43" s="19" t="s">
        <v>2524</v>
      </c>
      <c r="C43" s="17" t="s">
        <v>1910</v>
      </c>
      <c r="D43" s="16"/>
      <c r="E43" s="2"/>
      <c r="F43" s="2"/>
      <c r="G43" s="2"/>
      <c r="H43" s="2"/>
      <c r="I43" s="3">
        <f>SUM(GMIC_22A_SCDPT6SN1!SCDPT6SN1_10BEGIN_7:GMIC_22A_SCDPT6SN1!SCDPT6SN1_10ENDIN_7)</f>
        <v>0</v>
      </c>
      <c r="J43" s="3">
        <f>SUM(GMIC_22A_SCDPT6SN1!SCDPT6SN1_10BEGIN_8:GMIC_22A_SCDPT6SN1!SCDPT6SN1_10ENDIN_8)</f>
        <v>0</v>
      </c>
      <c r="K43" s="3">
        <f>SUM(GMIC_22A_SCDPT6SN1!SCDPT6SN1_10BEGIN_9:GMIC_22A_SCDPT6SN1!SCDPT6SN1_10ENDIN_9)</f>
        <v>0</v>
      </c>
      <c r="L43" s="2"/>
      <c r="M43" s="2"/>
      <c r="N43" s="2"/>
      <c r="O43" s="2"/>
      <c r="P43" s="2"/>
      <c r="Q43" s="2"/>
      <c r="R43" s="3">
        <f>SUM(GMIC_22A_SCDPT6SN1!SCDPT6SN1_10BEGIN_16:GMIC_22A_SCDPT6SN1!SCDPT6SN1_10ENDIN_16)</f>
        <v>0</v>
      </c>
      <c r="S43" s="3">
        <f>SUM(GMIC_22A_SCDPT6SN1!SCDPT6SN1_10BEGIN_17:GMIC_22A_SCDPT6SN1!SCDPT6SN1_10ENDIN_17)</f>
        <v>0</v>
      </c>
      <c r="T43" s="3">
        <f>SUM(GMIC_22A_SCDPT6SN1!SCDPT6SN1_10BEGIN_18:GMIC_22A_SCDPT6SN1!SCDPT6SN1_10ENDIN_18)</f>
        <v>0</v>
      </c>
      <c r="U43" s="2"/>
    </row>
    <row r="44" spans="2:21" x14ac:dyDescent="0.3">
      <c r="B44" s="7" t="s">
        <v>2744</v>
      </c>
      <c r="C44" s="1" t="s">
        <v>2744</v>
      </c>
      <c r="D44" s="8" t="s">
        <v>2744</v>
      </c>
      <c r="E44" s="1" t="s">
        <v>2744</v>
      </c>
      <c r="F44" s="1" t="s">
        <v>2744</v>
      </c>
      <c r="G44" s="1" t="s">
        <v>2744</v>
      </c>
      <c r="H44" s="1" t="s">
        <v>2744</v>
      </c>
      <c r="I44" s="1" t="s">
        <v>2744</v>
      </c>
      <c r="J44" s="1" t="s">
        <v>2744</v>
      </c>
      <c r="K44" s="1" t="s">
        <v>2744</v>
      </c>
      <c r="L44" s="1" t="s">
        <v>2744</v>
      </c>
      <c r="M44" s="1" t="s">
        <v>2744</v>
      </c>
      <c r="N44" s="1" t="s">
        <v>2744</v>
      </c>
      <c r="O44" s="1" t="s">
        <v>2744</v>
      </c>
      <c r="P44" s="1" t="s">
        <v>2744</v>
      </c>
      <c r="Q44" s="1" t="s">
        <v>2744</v>
      </c>
      <c r="R44" s="1" t="s">
        <v>2744</v>
      </c>
      <c r="S44" s="1" t="s">
        <v>2744</v>
      </c>
      <c r="T44" s="1" t="s">
        <v>2744</v>
      </c>
      <c r="U44" s="1" t="s">
        <v>2744</v>
      </c>
    </row>
    <row r="45" spans="2:21" x14ac:dyDescent="0.3">
      <c r="B45" s="18" t="s">
        <v>258</v>
      </c>
      <c r="C45" s="25" t="s">
        <v>3897</v>
      </c>
      <c r="D45" s="15" t="s">
        <v>2</v>
      </c>
      <c r="E45" s="20" t="s">
        <v>2</v>
      </c>
      <c r="F45" s="49" t="s">
        <v>2</v>
      </c>
      <c r="G45" s="51" t="s">
        <v>2</v>
      </c>
      <c r="H45" s="50" t="s">
        <v>2</v>
      </c>
      <c r="I45" s="4"/>
      <c r="J45" s="4"/>
      <c r="K45" s="4"/>
      <c r="L45" s="28"/>
      <c r="M45" s="48"/>
      <c r="N45" s="5" t="s">
        <v>2</v>
      </c>
      <c r="O45" s="5" t="s">
        <v>2</v>
      </c>
      <c r="P45" s="5" t="s">
        <v>2</v>
      </c>
      <c r="Q45" s="21" t="s">
        <v>2</v>
      </c>
      <c r="R45" s="4"/>
      <c r="S45" s="4"/>
      <c r="T45" s="4"/>
      <c r="U45" s="52" t="s">
        <v>2</v>
      </c>
    </row>
    <row r="46" spans="2:21" x14ac:dyDescent="0.3">
      <c r="B46" s="7" t="s">
        <v>2744</v>
      </c>
      <c r="C46" s="1" t="s">
        <v>2744</v>
      </c>
      <c r="D46" s="8" t="s">
        <v>2744</v>
      </c>
      <c r="E46" s="1" t="s">
        <v>2744</v>
      </c>
      <c r="F46" s="1" t="s">
        <v>2744</v>
      </c>
      <c r="G46" s="1" t="s">
        <v>2744</v>
      </c>
      <c r="H46" s="1" t="s">
        <v>2744</v>
      </c>
      <c r="I46" s="1" t="s">
        <v>2744</v>
      </c>
      <c r="J46" s="1" t="s">
        <v>2744</v>
      </c>
      <c r="K46" s="1" t="s">
        <v>2744</v>
      </c>
      <c r="L46" s="1" t="s">
        <v>2744</v>
      </c>
      <c r="M46" s="1" t="s">
        <v>2744</v>
      </c>
      <c r="N46" s="1" t="s">
        <v>2744</v>
      </c>
      <c r="O46" s="1" t="s">
        <v>2744</v>
      </c>
      <c r="P46" s="1" t="s">
        <v>2744</v>
      </c>
      <c r="Q46" s="1" t="s">
        <v>2744</v>
      </c>
      <c r="R46" s="1" t="s">
        <v>2744</v>
      </c>
      <c r="S46" s="1" t="s">
        <v>2744</v>
      </c>
      <c r="T46" s="1" t="s">
        <v>2744</v>
      </c>
      <c r="U46" s="1" t="s">
        <v>2744</v>
      </c>
    </row>
    <row r="47" spans="2:21" ht="28" x14ac:dyDescent="0.3">
      <c r="B47" s="19" t="s">
        <v>1611</v>
      </c>
      <c r="C47" s="17" t="s">
        <v>1154</v>
      </c>
      <c r="D47" s="16"/>
      <c r="E47" s="2"/>
      <c r="F47" s="2"/>
      <c r="G47" s="2"/>
      <c r="H47" s="2"/>
      <c r="I47" s="3">
        <f>SUM(GMIC_22A_SCDPT6SN1!SCDPT6SN1_11BEGIN_7:GMIC_22A_SCDPT6SN1!SCDPT6SN1_11ENDIN_7)</f>
        <v>0</v>
      </c>
      <c r="J47" s="3">
        <f>SUM(GMIC_22A_SCDPT6SN1!SCDPT6SN1_11BEGIN_8:GMIC_22A_SCDPT6SN1!SCDPT6SN1_11ENDIN_8)</f>
        <v>0</v>
      </c>
      <c r="K47" s="3">
        <f>SUM(GMIC_22A_SCDPT6SN1!SCDPT6SN1_11BEGIN_9:GMIC_22A_SCDPT6SN1!SCDPT6SN1_11ENDIN_9)</f>
        <v>0</v>
      </c>
      <c r="L47" s="2"/>
      <c r="M47" s="2"/>
      <c r="N47" s="2"/>
      <c r="O47" s="2"/>
      <c r="P47" s="2"/>
      <c r="Q47" s="2"/>
      <c r="R47" s="3">
        <f>SUM(GMIC_22A_SCDPT6SN1!SCDPT6SN1_11BEGIN_16:GMIC_22A_SCDPT6SN1!SCDPT6SN1_11ENDIN_16)</f>
        <v>0</v>
      </c>
      <c r="S47" s="3">
        <f>SUM(GMIC_22A_SCDPT6SN1!SCDPT6SN1_11BEGIN_17:GMIC_22A_SCDPT6SN1!SCDPT6SN1_11ENDIN_17)</f>
        <v>0</v>
      </c>
      <c r="T47" s="3">
        <f>SUM(GMIC_22A_SCDPT6SN1!SCDPT6SN1_11BEGIN_18:GMIC_22A_SCDPT6SN1!SCDPT6SN1_11ENDIN_18)</f>
        <v>0</v>
      </c>
      <c r="U47" s="2"/>
    </row>
    <row r="48" spans="2:21" x14ac:dyDescent="0.3">
      <c r="B48" s="7" t="s">
        <v>2744</v>
      </c>
      <c r="C48" s="1" t="s">
        <v>2744</v>
      </c>
      <c r="D48" s="8" t="s">
        <v>2744</v>
      </c>
      <c r="E48" s="1" t="s">
        <v>2744</v>
      </c>
      <c r="F48" s="1" t="s">
        <v>2744</v>
      </c>
      <c r="G48" s="1" t="s">
        <v>2744</v>
      </c>
      <c r="H48" s="1" t="s">
        <v>2744</v>
      </c>
      <c r="I48" s="1" t="s">
        <v>2744</v>
      </c>
      <c r="J48" s="1" t="s">
        <v>2744</v>
      </c>
      <c r="K48" s="1" t="s">
        <v>2744</v>
      </c>
      <c r="L48" s="1" t="s">
        <v>2744</v>
      </c>
      <c r="M48" s="1" t="s">
        <v>2744</v>
      </c>
      <c r="N48" s="1" t="s">
        <v>2744</v>
      </c>
      <c r="O48" s="1" t="s">
        <v>2744</v>
      </c>
      <c r="P48" s="1" t="s">
        <v>2744</v>
      </c>
      <c r="Q48" s="1" t="s">
        <v>2744</v>
      </c>
      <c r="R48" s="1" t="s">
        <v>2744</v>
      </c>
      <c r="S48" s="1" t="s">
        <v>2744</v>
      </c>
      <c r="T48" s="1" t="s">
        <v>2744</v>
      </c>
      <c r="U48" s="1" t="s">
        <v>2744</v>
      </c>
    </row>
    <row r="49" spans="2:21" x14ac:dyDescent="0.3">
      <c r="B49" s="18" t="s">
        <v>3885</v>
      </c>
      <c r="C49" s="25" t="s">
        <v>3897</v>
      </c>
      <c r="D49" s="15" t="s">
        <v>2</v>
      </c>
      <c r="E49" s="20" t="s">
        <v>2</v>
      </c>
      <c r="F49" s="49" t="s">
        <v>2</v>
      </c>
      <c r="G49" s="51" t="s">
        <v>2</v>
      </c>
      <c r="H49" s="50" t="s">
        <v>2</v>
      </c>
      <c r="I49" s="4"/>
      <c r="J49" s="4"/>
      <c r="K49" s="4"/>
      <c r="L49" s="28"/>
      <c r="M49" s="48"/>
      <c r="N49" s="5" t="s">
        <v>2</v>
      </c>
      <c r="O49" s="5" t="s">
        <v>2</v>
      </c>
      <c r="P49" s="5" t="s">
        <v>2</v>
      </c>
      <c r="Q49" s="21" t="s">
        <v>2</v>
      </c>
      <c r="R49" s="4"/>
      <c r="S49" s="4"/>
      <c r="T49" s="4"/>
      <c r="U49" s="52" t="s">
        <v>2</v>
      </c>
    </row>
    <row r="50" spans="2:21" x14ac:dyDescent="0.3">
      <c r="B50" s="7" t="s">
        <v>2744</v>
      </c>
      <c r="C50" s="1" t="s">
        <v>2744</v>
      </c>
      <c r="D50" s="8" t="s">
        <v>2744</v>
      </c>
      <c r="E50" s="1" t="s">
        <v>2744</v>
      </c>
      <c r="F50" s="1" t="s">
        <v>2744</v>
      </c>
      <c r="G50" s="1" t="s">
        <v>2744</v>
      </c>
      <c r="H50" s="1" t="s">
        <v>2744</v>
      </c>
      <c r="I50" s="1" t="s">
        <v>2744</v>
      </c>
      <c r="J50" s="1" t="s">
        <v>2744</v>
      </c>
      <c r="K50" s="1" t="s">
        <v>2744</v>
      </c>
      <c r="L50" s="1" t="s">
        <v>2744</v>
      </c>
      <c r="M50" s="1" t="s">
        <v>2744</v>
      </c>
      <c r="N50" s="1" t="s">
        <v>2744</v>
      </c>
      <c r="O50" s="1" t="s">
        <v>2744</v>
      </c>
      <c r="P50" s="1" t="s">
        <v>2744</v>
      </c>
      <c r="Q50" s="1" t="s">
        <v>2744</v>
      </c>
      <c r="R50" s="1" t="s">
        <v>2744</v>
      </c>
      <c r="S50" s="1" t="s">
        <v>2744</v>
      </c>
      <c r="T50" s="1" t="s">
        <v>2744</v>
      </c>
      <c r="U50" s="1" t="s">
        <v>2744</v>
      </c>
    </row>
    <row r="51" spans="2:21" ht="28" x14ac:dyDescent="0.3">
      <c r="B51" s="19" t="s">
        <v>775</v>
      </c>
      <c r="C51" s="17" t="s">
        <v>3886</v>
      </c>
      <c r="D51" s="16"/>
      <c r="E51" s="2"/>
      <c r="F51" s="2"/>
      <c r="G51" s="2"/>
      <c r="H51" s="2"/>
      <c r="I51" s="3">
        <f>SUM(GMIC_22A_SCDPT6SN1!SCDPT6SN1_12BEGIN_7:GMIC_22A_SCDPT6SN1!SCDPT6SN1_12ENDIN_7)</f>
        <v>0</v>
      </c>
      <c r="J51" s="3">
        <f>SUM(GMIC_22A_SCDPT6SN1!SCDPT6SN1_12BEGIN_8:GMIC_22A_SCDPT6SN1!SCDPT6SN1_12ENDIN_8)</f>
        <v>0</v>
      </c>
      <c r="K51" s="3">
        <f>SUM(GMIC_22A_SCDPT6SN1!SCDPT6SN1_12BEGIN_9:GMIC_22A_SCDPT6SN1!SCDPT6SN1_12ENDIN_9)</f>
        <v>0</v>
      </c>
      <c r="L51" s="2"/>
      <c r="M51" s="2"/>
      <c r="N51" s="2"/>
      <c r="O51" s="2"/>
      <c r="P51" s="2"/>
      <c r="Q51" s="2"/>
      <c r="R51" s="3">
        <f>SUM(GMIC_22A_SCDPT6SN1!SCDPT6SN1_12BEGIN_16:GMIC_22A_SCDPT6SN1!SCDPT6SN1_12ENDIN_16)</f>
        <v>0</v>
      </c>
      <c r="S51" s="3">
        <f>SUM(GMIC_22A_SCDPT6SN1!SCDPT6SN1_12BEGIN_17:GMIC_22A_SCDPT6SN1!SCDPT6SN1_12ENDIN_17)</f>
        <v>0</v>
      </c>
      <c r="T51" s="3">
        <f>SUM(GMIC_22A_SCDPT6SN1!SCDPT6SN1_12BEGIN_18:GMIC_22A_SCDPT6SN1!SCDPT6SN1_12ENDIN_18)</f>
        <v>0</v>
      </c>
      <c r="U51" s="2"/>
    </row>
    <row r="52" spans="2:21" x14ac:dyDescent="0.3">
      <c r="B52" s="7" t="s">
        <v>2744</v>
      </c>
      <c r="C52" s="1" t="s">
        <v>2744</v>
      </c>
      <c r="D52" s="8" t="s">
        <v>2744</v>
      </c>
      <c r="E52" s="1" t="s">
        <v>2744</v>
      </c>
      <c r="F52" s="1" t="s">
        <v>2744</v>
      </c>
      <c r="G52" s="1" t="s">
        <v>2744</v>
      </c>
      <c r="H52" s="1" t="s">
        <v>2744</v>
      </c>
      <c r="I52" s="1" t="s">
        <v>2744</v>
      </c>
      <c r="J52" s="1" t="s">
        <v>2744</v>
      </c>
      <c r="K52" s="1" t="s">
        <v>2744</v>
      </c>
      <c r="L52" s="1" t="s">
        <v>2744</v>
      </c>
      <c r="M52" s="1" t="s">
        <v>2744</v>
      </c>
      <c r="N52" s="1" t="s">
        <v>2744</v>
      </c>
      <c r="O52" s="1" t="s">
        <v>2744</v>
      </c>
      <c r="P52" s="1" t="s">
        <v>2744</v>
      </c>
      <c r="Q52" s="1" t="s">
        <v>2744</v>
      </c>
      <c r="R52" s="1" t="s">
        <v>2744</v>
      </c>
      <c r="S52" s="1" t="s">
        <v>2744</v>
      </c>
      <c r="T52" s="1" t="s">
        <v>2744</v>
      </c>
      <c r="U52" s="1" t="s">
        <v>2744</v>
      </c>
    </row>
    <row r="53" spans="2:21" x14ac:dyDescent="0.3">
      <c r="B53" s="18" t="s">
        <v>3404</v>
      </c>
      <c r="C53" s="25" t="s">
        <v>3897</v>
      </c>
      <c r="D53" s="15" t="s">
        <v>2</v>
      </c>
      <c r="E53" s="20" t="s">
        <v>2</v>
      </c>
      <c r="F53" s="49" t="s">
        <v>2</v>
      </c>
      <c r="G53" s="51" t="s">
        <v>2</v>
      </c>
      <c r="H53" s="50" t="s">
        <v>2</v>
      </c>
      <c r="I53" s="4"/>
      <c r="J53" s="4"/>
      <c r="K53" s="4"/>
      <c r="L53" s="28"/>
      <c r="M53" s="48"/>
      <c r="N53" s="5" t="s">
        <v>2</v>
      </c>
      <c r="O53" s="5" t="s">
        <v>2</v>
      </c>
      <c r="P53" s="5" t="s">
        <v>2</v>
      </c>
      <c r="Q53" s="21" t="s">
        <v>2</v>
      </c>
      <c r="R53" s="4"/>
      <c r="S53" s="4"/>
      <c r="T53" s="4"/>
      <c r="U53" s="52" t="s">
        <v>2</v>
      </c>
    </row>
    <row r="54" spans="2:21" x14ac:dyDescent="0.3">
      <c r="B54" s="7" t="s">
        <v>2744</v>
      </c>
      <c r="C54" s="1" t="s">
        <v>2744</v>
      </c>
      <c r="D54" s="8" t="s">
        <v>2744</v>
      </c>
      <c r="E54" s="1" t="s">
        <v>2744</v>
      </c>
      <c r="F54" s="1" t="s">
        <v>2744</v>
      </c>
      <c r="G54" s="1" t="s">
        <v>2744</v>
      </c>
      <c r="H54" s="1" t="s">
        <v>2744</v>
      </c>
      <c r="I54" s="1" t="s">
        <v>2744</v>
      </c>
      <c r="J54" s="1" t="s">
        <v>2744</v>
      </c>
      <c r="K54" s="1" t="s">
        <v>2744</v>
      </c>
      <c r="L54" s="1" t="s">
        <v>2744</v>
      </c>
      <c r="M54" s="1" t="s">
        <v>2744</v>
      </c>
      <c r="N54" s="1" t="s">
        <v>2744</v>
      </c>
      <c r="O54" s="1" t="s">
        <v>2744</v>
      </c>
      <c r="P54" s="1" t="s">
        <v>2744</v>
      </c>
      <c r="Q54" s="1" t="s">
        <v>2744</v>
      </c>
      <c r="R54" s="1" t="s">
        <v>2744</v>
      </c>
      <c r="S54" s="1" t="s">
        <v>2744</v>
      </c>
      <c r="T54" s="1" t="s">
        <v>2744</v>
      </c>
      <c r="U54" s="1" t="s">
        <v>2744</v>
      </c>
    </row>
    <row r="55" spans="2:21" ht="28" x14ac:dyDescent="0.3">
      <c r="B55" s="19" t="s">
        <v>259</v>
      </c>
      <c r="C55" s="17" t="s">
        <v>4175</v>
      </c>
      <c r="D55" s="16"/>
      <c r="E55" s="2"/>
      <c r="F55" s="2"/>
      <c r="G55" s="2"/>
      <c r="H55" s="2"/>
      <c r="I55" s="3">
        <f>SUM(GMIC_22A_SCDPT6SN1!SCDPT6SN1_13BEGIN_7:GMIC_22A_SCDPT6SN1!SCDPT6SN1_13ENDIN_7)</f>
        <v>0</v>
      </c>
      <c r="J55" s="3">
        <f>SUM(GMIC_22A_SCDPT6SN1!SCDPT6SN1_13BEGIN_8:GMIC_22A_SCDPT6SN1!SCDPT6SN1_13ENDIN_8)</f>
        <v>0</v>
      </c>
      <c r="K55" s="3">
        <f>SUM(GMIC_22A_SCDPT6SN1!SCDPT6SN1_13BEGIN_9:GMIC_22A_SCDPT6SN1!SCDPT6SN1_13ENDIN_9)</f>
        <v>0</v>
      </c>
      <c r="L55" s="2"/>
      <c r="M55" s="2"/>
      <c r="N55" s="2"/>
      <c r="O55" s="2"/>
      <c r="P55" s="2"/>
      <c r="Q55" s="2"/>
      <c r="R55" s="3">
        <f>SUM(GMIC_22A_SCDPT6SN1!SCDPT6SN1_13BEGIN_16:GMIC_22A_SCDPT6SN1!SCDPT6SN1_13ENDIN_16)</f>
        <v>0</v>
      </c>
      <c r="S55" s="3">
        <f>SUM(GMIC_22A_SCDPT6SN1!SCDPT6SN1_13BEGIN_17:GMIC_22A_SCDPT6SN1!SCDPT6SN1_13ENDIN_17)</f>
        <v>0</v>
      </c>
      <c r="T55" s="3">
        <f>SUM(GMIC_22A_SCDPT6SN1!SCDPT6SN1_13BEGIN_18:GMIC_22A_SCDPT6SN1!SCDPT6SN1_13ENDIN_18)</f>
        <v>0</v>
      </c>
      <c r="U55" s="2"/>
    </row>
    <row r="56" spans="2:21" x14ac:dyDescent="0.3">
      <c r="B56" s="7" t="s">
        <v>2744</v>
      </c>
      <c r="C56" s="1" t="s">
        <v>2744</v>
      </c>
      <c r="D56" s="8" t="s">
        <v>2744</v>
      </c>
      <c r="E56" s="1" t="s">
        <v>2744</v>
      </c>
      <c r="F56" s="1" t="s">
        <v>2744</v>
      </c>
      <c r="G56" s="1" t="s">
        <v>2744</v>
      </c>
      <c r="H56" s="1" t="s">
        <v>2744</v>
      </c>
      <c r="I56" s="1" t="s">
        <v>2744</v>
      </c>
      <c r="J56" s="1" t="s">
        <v>2744</v>
      </c>
      <c r="K56" s="1" t="s">
        <v>2744</v>
      </c>
      <c r="L56" s="1" t="s">
        <v>2744</v>
      </c>
      <c r="M56" s="1" t="s">
        <v>2744</v>
      </c>
      <c r="N56" s="1" t="s">
        <v>2744</v>
      </c>
      <c r="O56" s="1" t="s">
        <v>2744</v>
      </c>
      <c r="P56" s="1" t="s">
        <v>2744</v>
      </c>
      <c r="Q56" s="1" t="s">
        <v>2744</v>
      </c>
      <c r="R56" s="1" t="s">
        <v>2744</v>
      </c>
      <c r="S56" s="1" t="s">
        <v>2744</v>
      </c>
      <c r="T56" s="1" t="s">
        <v>2744</v>
      </c>
      <c r="U56" s="1" t="s">
        <v>2744</v>
      </c>
    </row>
    <row r="57" spans="2:21" x14ac:dyDescent="0.3">
      <c r="B57" s="18" t="s">
        <v>2525</v>
      </c>
      <c r="C57" s="25" t="s">
        <v>3897</v>
      </c>
      <c r="D57" s="15" t="s">
        <v>2</v>
      </c>
      <c r="E57" s="20" t="s">
        <v>2</v>
      </c>
      <c r="F57" s="49" t="s">
        <v>2</v>
      </c>
      <c r="G57" s="51" t="s">
        <v>2</v>
      </c>
      <c r="H57" s="50" t="s">
        <v>2</v>
      </c>
      <c r="I57" s="4"/>
      <c r="J57" s="4"/>
      <c r="K57" s="4"/>
      <c r="L57" s="28"/>
      <c r="M57" s="48"/>
      <c r="N57" s="5" t="s">
        <v>2</v>
      </c>
      <c r="O57" s="5" t="s">
        <v>2</v>
      </c>
      <c r="P57" s="5" t="s">
        <v>2</v>
      </c>
      <c r="Q57" s="21" t="s">
        <v>2</v>
      </c>
      <c r="R57" s="4"/>
      <c r="S57" s="4"/>
      <c r="T57" s="4"/>
      <c r="U57" s="52" t="s">
        <v>2</v>
      </c>
    </row>
    <row r="58" spans="2:21" x14ac:dyDescent="0.3">
      <c r="B58" s="7" t="s">
        <v>2744</v>
      </c>
      <c r="C58" s="1" t="s">
        <v>2744</v>
      </c>
      <c r="D58" s="8" t="s">
        <v>2744</v>
      </c>
      <c r="E58" s="1" t="s">
        <v>2744</v>
      </c>
      <c r="F58" s="1" t="s">
        <v>2744</v>
      </c>
      <c r="G58" s="1" t="s">
        <v>2744</v>
      </c>
      <c r="H58" s="1" t="s">
        <v>2744</v>
      </c>
      <c r="I58" s="1" t="s">
        <v>2744</v>
      </c>
      <c r="J58" s="1" t="s">
        <v>2744</v>
      </c>
      <c r="K58" s="1" t="s">
        <v>2744</v>
      </c>
      <c r="L58" s="1" t="s">
        <v>2744</v>
      </c>
      <c r="M58" s="1" t="s">
        <v>2744</v>
      </c>
      <c r="N58" s="1" t="s">
        <v>2744</v>
      </c>
      <c r="O58" s="1" t="s">
        <v>2744</v>
      </c>
      <c r="P58" s="1" t="s">
        <v>2744</v>
      </c>
      <c r="Q58" s="1" t="s">
        <v>2744</v>
      </c>
      <c r="R58" s="1" t="s">
        <v>2744</v>
      </c>
      <c r="S58" s="1" t="s">
        <v>2744</v>
      </c>
      <c r="T58" s="1" t="s">
        <v>2744</v>
      </c>
      <c r="U58" s="1" t="s">
        <v>2744</v>
      </c>
    </row>
    <row r="59" spans="2:21" ht="28" x14ac:dyDescent="0.3">
      <c r="B59" s="19" t="s">
        <v>3887</v>
      </c>
      <c r="C59" s="17" t="s">
        <v>776</v>
      </c>
      <c r="D59" s="16"/>
      <c r="E59" s="2"/>
      <c r="F59" s="2"/>
      <c r="G59" s="2"/>
      <c r="H59" s="2"/>
      <c r="I59" s="3">
        <f>SUM(GMIC_22A_SCDPT6SN1!SCDPT6SN1_14BEGIN_7:GMIC_22A_SCDPT6SN1!SCDPT6SN1_14ENDIN_7)</f>
        <v>0</v>
      </c>
      <c r="J59" s="3">
        <f>SUM(GMIC_22A_SCDPT6SN1!SCDPT6SN1_14BEGIN_8:GMIC_22A_SCDPT6SN1!SCDPT6SN1_14ENDIN_8)</f>
        <v>0</v>
      </c>
      <c r="K59" s="3">
        <f>SUM(GMIC_22A_SCDPT6SN1!SCDPT6SN1_14BEGIN_9:GMIC_22A_SCDPT6SN1!SCDPT6SN1_14ENDIN_9)</f>
        <v>0</v>
      </c>
      <c r="L59" s="2"/>
      <c r="M59" s="2"/>
      <c r="N59" s="2"/>
      <c r="O59" s="2"/>
      <c r="P59" s="2"/>
      <c r="Q59" s="2"/>
      <c r="R59" s="3">
        <f>SUM(GMIC_22A_SCDPT6SN1!SCDPT6SN1_14BEGIN_16:GMIC_22A_SCDPT6SN1!SCDPT6SN1_14ENDIN_16)</f>
        <v>0</v>
      </c>
      <c r="S59" s="3">
        <f>SUM(GMIC_22A_SCDPT6SN1!SCDPT6SN1_14BEGIN_17:GMIC_22A_SCDPT6SN1!SCDPT6SN1_14ENDIN_17)</f>
        <v>0</v>
      </c>
      <c r="T59" s="3">
        <f>SUM(GMIC_22A_SCDPT6SN1!SCDPT6SN1_14BEGIN_18:GMIC_22A_SCDPT6SN1!SCDPT6SN1_14ENDIN_18)</f>
        <v>0</v>
      </c>
      <c r="U59" s="2"/>
    </row>
    <row r="60" spans="2:21" x14ac:dyDescent="0.3">
      <c r="B60" s="7" t="s">
        <v>2744</v>
      </c>
      <c r="C60" s="1" t="s">
        <v>2744</v>
      </c>
      <c r="D60" s="8" t="s">
        <v>2744</v>
      </c>
      <c r="E60" s="1" t="s">
        <v>2744</v>
      </c>
      <c r="F60" s="1" t="s">
        <v>2744</v>
      </c>
      <c r="G60" s="1" t="s">
        <v>2744</v>
      </c>
      <c r="H60" s="1" t="s">
        <v>2744</v>
      </c>
      <c r="I60" s="1" t="s">
        <v>2744</v>
      </c>
      <c r="J60" s="1" t="s">
        <v>2744</v>
      </c>
      <c r="K60" s="1" t="s">
        <v>2744</v>
      </c>
      <c r="L60" s="1" t="s">
        <v>2744</v>
      </c>
      <c r="M60" s="1" t="s">
        <v>2744</v>
      </c>
      <c r="N60" s="1" t="s">
        <v>2744</v>
      </c>
      <c r="O60" s="1" t="s">
        <v>2744</v>
      </c>
      <c r="P60" s="1" t="s">
        <v>2744</v>
      </c>
      <c r="Q60" s="1" t="s">
        <v>2744</v>
      </c>
      <c r="R60" s="1" t="s">
        <v>2744</v>
      </c>
      <c r="S60" s="1" t="s">
        <v>2744</v>
      </c>
      <c r="T60" s="1" t="s">
        <v>2744</v>
      </c>
      <c r="U60" s="1" t="s">
        <v>2744</v>
      </c>
    </row>
    <row r="61" spans="2:21" x14ac:dyDescent="0.3">
      <c r="B61" s="18" t="s">
        <v>1612</v>
      </c>
      <c r="C61" s="25" t="s">
        <v>3897</v>
      </c>
      <c r="D61" s="15" t="s">
        <v>2</v>
      </c>
      <c r="E61" s="20" t="s">
        <v>2</v>
      </c>
      <c r="F61" s="49" t="s">
        <v>2</v>
      </c>
      <c r="G61" s="51" t="s">
        <v>2</v>
      </c>
      <c r="H61" s="50" t="s">
        <v>2</v>
      </c>
      <c r="I61" s="4"/>
      <c r="J61" s="4"/>
      <c r="K61" s="4"/>
      <c r="L61" s="28"/>
      <c r="M61" s="48"/>
      <c r="N61" s="5" t="s">
        <v>2</v>
      </c>
      <c r="O61" s="5" t="s">
        <v>2</v>
      </c>
      <c r="P61" s="5" t="s">
        <v>2</v>
      </c>
      <c r="Q61" s="21" t="s">
        <v>2</v>
      </c>
      <c r="R61" s="4"/>
      <c r="S61" s="4"/>
      <c r="T61" s="4"/>
      <c r="U61" s="52" t="s">
        <v>2</v>
      </c>
    </row>
    <row r="62" spans="2:21" x14ac:dyDescent="0.3">
      <c r="B62" s="7" t="s">
        <v>2744</v>
      </c>
      <c r="C62" s="1" t="s">
        <v>2744</v>
      </c>
      <c r="D62" s="8" t="s">
        <v>2744</v>
      </c>
      <c r="E62" s="1" t="s">
        <v>2744</v>
      </c>
      <c r="F62" s="1" t="s">
        <v>2744</v>
      </c>
      <c r="G62" s="1" t="s">
        <v>2744</v>
      </c>
      <c r="H62" s="1" t="s">
        <v>2744</v>
      </c>
      <c r="I62" s="1" t="s">
        <v>2744</v>
      </c>
      <c r="J62" s="1" t="s">
        <v>2744</v>
      </c>
      <c r="K62" s="1" t="s">
        <v>2744</v>
      </c>
      <c r="L62" s="1" t="s">
        <v>2744</v>
      </c>
      <c r="M62" s="1" t="s">
        <v>2744</v>
      </c>
      <c r="N62" s="1" t="s">
        <v>2744</v>
      </c>
      <c r="O62" s="1" t="s">
        <v>2744</v>
      </c>
      <c r="P62" s="1" t="s">
        <v>2744</v>
      </c>
      <c r="Q62" s="1" t="s">
        <v>2744</v>
      </c>
      <c r="R62" s="1" t="s">
        <v>2744</v>
      </c>
      <c r="S62" s="1" t="s">
        <v>2744</v>
      </c>
      <c r="T62" s="1" t="s">
        <v>2744</v>
      </c>
      <c r="U62" s="1" t="s">
        <v>2744</v>
      </c>
    </row>
    <row r="63" spans="2:21" ht="28" x14ac:dyDescent="0.3">
      <c r="B63" s="19" t="s">
        <v>3048</v>
      </c>
      <c r="C63" s="17" t="s">
        <v>4536</v>
      </c>
      <c r="D63" s="16"/>
      <c r="E63" s="2"/>
      <c r="F63" s="2"/>
      <c r="G63" s="2"/>
      <c r="H63" s="2"/>
      <c r="I63" s="3">
        <f>SUM(GMIC_22A_SCDPT6SN1!SCDPT6SN1_15BEGIN_7:GMIC_22A_SCDPT6SN1!SCDPT6SN1_15ENDIN_7)</f>
        <v>0</v>
      </c>
      <c r="J63" s="3">
        <f>SUM(GMIC_22A_SCDPT6SN1!SCDPT6SN1_15BEGIN_8:GMIC_22A_SCDPT6SN1!SCDPT6SN1_15ENDIN_8)</f>
        <v>0</v>
      </c>
      <c r="K63" s="3">
        <f>SUM(GMIC_22A_SCDPT6SN1!SCDPT6SN1_15BEGIN_9:GMIC_22A_SCDPT6SN1!SCDPT6SN1_15ENDIN_9)</f>
        <v>0</v>
      </c>
      <c r="L63" s="2"/>
      <c r="M63" s="2"/>
      <c r="N63" s="2"/>
      <c r="O63" s="2"/>
      <c r="P63" s="2"/>
      <c r="Q63" s="2"/>
      <c r="R63" s="3">
        <f>SUM(GMIC_22A_SCDPT6SN1!SCDPT6SN1_15BEGIN_16:GMIC_22A_SCDPT6SN1!SCDPT6SN1_15ENDIN_16)</f>
        <v>0</v>
      </c>
      <c r="S63" s="3">
        <f>SUM(GMIC_22A_SCDPT6SN1!SCDPT6SN1_15BEGIN_17:GMIC_22A_SCDPT6SN1!SCDPT6SN1_15ENDIN_17)</f>
        <v>0</v>
      </c>
      <c r="T63" s="3">
        <f>SUM(GMIC_22A_SCDPT6SN1!SCDPT6SN1_15BEGIN_18:GMIC_22A_SCDPT6SN1!SCDPT6SN1_15ENDIN_18)</f>
        <v>0</v>
      </c>
      <c r="U63" s="2"/>
    </row>
    <row r="64" spans="2:21" x14ac:dyDescent="0.3">
      <c r="B64" s="7" t="s">
        <v>2744</v>
      </c>
      <c r="C64" s="1" t="s">
        <v>2744</v>
      </c>
      <c r="D64" s="8" t="s">
        <v>2744</v>
      </c>
      <c r="E64" s="1" t="s">
        <v>2744</v>
      </c>
      <c r="F64" s="1" t="s">
        <v>2744</v>
      </c>
      <c r="G64" s="1" t="s">
        <v>2744</v>
      </c>
      <c r="H64" s="1" t="s">
        <v>2744</v>
      </c>
      <c r="I64" s="1" t="s">
        <v>2744</v>
      </c>
      <c r="J64" s="1" t="s">
        <v>2744</v>
      </c>
      <c r="K64" s="1" t="s">
        <v>2744</v>
      </c>
      <c r="L64" s="1" t="s">
        <v>2744</v>
      </c>
      <c r="M64" s="1" t="s">
        <v>2744</v>
      </c>
      <c r="N64" s="1" t="s">
        <v>2744</v>
      </c>
      <c r="O64" s="1" t="s">
        <v>2744</v>
      </c>
      <c r="P64" s="1" t="s">
        <v>2744</v>
      </c>
      <c r="Q64" s="1" t="s">
        <v>2744</v>
      </c>
      <c r="R64" s="1" t="s">
        <v>2744</v>
      </c>
      <c r="S64" s="1" t="s">
        <v>2744</v>
      </c>
      <c r="T64" s="1" t="s">
        <v>2744</v>
      </c>
      <c r="U64" s="1" t="s">
        <v>2744</v>
      </c>
    </row>
    <row r="65" spans="2:21" x14ac:dyDescent="0.3">
      <c r="B65" s="18" t="s">
        <v>777</v>
      </c>
      <c r="C65" s="25" t="s">
        <v>3897</v>
      </c>
      <c r="D65" s="15" t="s">
        <v>2</v>
      </c>
      <c r="E65" s="20" t="s">
        <v>2</v>
      </c>
      <c r="F65" s="49" t="s">
        <v>2</v>
      </c>
      <c r="G65" s="51" t="s">
        <v>2</v>
      </c>
      <c r="H65" s="50" t="s">
        <v>2</v>
      </c>
      <c r="I65" s="4"/>
      <c r="J65" s="4"/>
      <c r="K65" s="4"/>
      <c r="L65" s="28"/>
      <c r="M65" s="48"/>
      <c r="N65" s="5" t="s">
        <v>2</v>
      </c>
      <c r="O65" s="5" t="s">
        <v>2</v>
      </c>
      <c r="P65" s="5" t="s">
        <v>2</v>
      </c>
      <c r="Q65" s="21" t="s">
        <v>2</v>
      </c>
      <c r="R65" s="4"/>
      <c r="S65" s="4"/>
      <c r="T65" s="4"/>
      <c r="U65" s="52" t="s">
        <v>2</v>
      </c>
    </row>
    <row r="66" spans="2:21" x14ac:dyDescent="0.3">
      <c r="B66" s="7" t="s">
        <v>2744</v>
      </c>
      <c r="C66" s="1" t="s">
        <v>2744</v>
      </c>
      <c r="D66" s="8" t="s">
        <v>2744</v>
      </c>
      <c r="E66" s="1" t="s">
        <v>2744</v>
      </c>
      <c r="F66" s="1" t="s">
        <v>2744</v>
      </c>
      <c r="G66" s="1" t="s">
        <v>2744</v>
      </c>
      <c r="H66" s="1" t="s">
        <v>2744</v>
      </c>
      <c r="I66" s="1" t="s">
        <v>2744</v>
      </c>
      <c r="J66" s="1" t="s">
        <v>2744</v>
      </c>
      <c r="K66" s="1" t="s">
        <v>2744</v>
      </c>
      <c r="L66" s="1" t="s">
        <v>2744</v>
      </c>
      <c r="M66" s="1" t="s">
        <v>2744</v>
      </c>
      <c r="N66" s="1" t="s">
        <v>2744</v>
      </c>
      <c r="O66" s="1" t="s">
        <v>2744</v>
      </c>
      <c r="P66" s="1" t="s">
        <v>2744</v>
      </c>
      <c r="Q66" s="1" t="s">
        <v>2744</v>
      </c>
      <c r="R66" s="1" t="s">
        <v>2744</v>
      </c>
      <c r="S66" s="1" t="s">
        <v>2744</v>
      </c>
      <c r="T66" s="1" t="s">
        <v>2744</v>
      </c>
      <c r="U66" s="1" t="s">
        <v>2744</v>
      </c>
    </row>
    <row r="67" spans="2:21" ht="28" x14ac:dyDescent="0.3">
      <c r="B67" s="19" t="s">
        <v>2266</v>
      </c>
      <c r="C67" s="17" t="s">
        <v>1911</v>
      </c>
      <c r="D67" s="16"/>
      <c r="E67" s="2"/>
      <c r="F67" s="2"/>
      <c r="G67" s="2"/>
      <c r="H67" s="2"/>
      <c r="I67" s="3">
        <f>SUM(GMIC_22A_SCDPT6SN1!SCDPT6SN1_16BEGIN_7:GMIC_22A_SCDPT6SN1!SCDPT6SN1_16ENDIN_7)</f>
        <v>0</v>
      </c>
      <c r="J67" s="3">
        <f>SUM(GMIC_22A_SCDPT6SN1!SCDPT6SN1_16BEGIN_8:GMIC_22A_SCDPT6SN1!SCDPT6SN1_16ENDIN_8)</f>
        <v>0</v>
      </c>
      <c r="K67" s="3">
        <f>SUM(GMIC_22A_SCDPT6SN1!SCDPT6SN1_16BEGIN_9:GMIC_22A_SCDPT6SN1!SCDPT6SN1_16ENDIN_9)</f>
        <v>0</v>
      </c>
      <c r="L67" s="2"/>
      <c r="M67" s="2"/>
      <c r="N67" s="2"/>
      <c r="O67" s="2"/>
      <c r="P67" s="2"/>
      <c r="Q67" s="2"/>
      <c r="R67" s="3">
        <f>SUM(GMIC_22A_SCDPT6SN1!SCDPT6SN1_16BEGIN_16:GMIC_22A_SCDPT6SN1!SCDPT6SN1_16ENDIN_16)</f>
        <v>0</v>
      </c>
      <c r="S67" s="3">
        <f>SUM(GMIC_22A_SCDPT6SN1!SCDPT6SN1_16BEGIN_17:GMIC_22A_SCDPT6SN1!SCDPT6SN1_16ENDIN_17)</f>
        <v>0</v>
      </c>
      <c r="T67" s="3">
        <f>SUM(GMIC_22A_SCDPT6SN1!SCDPT6SN1_16BEGIN_18:GMIC_22A_SCDPT6SN1!SCDPT6SN1_16ENDIN_18)</f>
        <v>0</v>
      </c>
      <c r="U67" s="2"/>
    </row>
    <row r="68" spans="2:21" x14ac:dyDescent="0.3">
      <c r="B68" s="7" t="s">
        <v>2744</v>
      </c>
      <c r="C68" s="1" t="s">
        <v>2744</v>
      </c>
      <c r="D68" s="8" t="s">
        <v>2744</v>
      </c>
      <c r="E68" s="1" t="s">
        <v>2744</v>
      </c>
      <c r="F68" s="1" t="s">
        <v>2744</v>
      </c>
      <c r="G68" s="1" t="s">
        <v>2744</v>
      </c>
      <c r="H68" s="1" t="s">
        <v>2744</v>
      </c>
      <c r="I68" s="1" t="s">
        <v>2744</v>
      </c>
      <c r="J68" s="1" t="s">
        <v>2744</v>
      </c>
      <c r="K68" s="1" t="s">
        <v>2744</v>
      </c>
      <c r="L68" s="1" t="s">
        <v>2744</v>
      </c>
      <c r="M68" s="1" t="s">
        <v>2744</v>
      </c>
      <c r="N68" s="1" t="s">
        <v>2744</v>
      </c>
      <c r="O68" s="1" t="s">
        <v>2744</v>
      </c>
      <c r="P68" s="1" t="s">
        <v>2744</v>
      </c>
      <c r="Q68" s="1" t="s">
        <v>2744</v>
      </c>
      <c r="R68" s="1" t="s">
        <v>2744</v>
      </c>
      <c r="S68" s="1" t="s">
        <v>2744</v>
      </c>
      <c r="T68" s="1" t="s">
        <v>2744</v>
      </c>
      <c r="U68" s="1" t="s">
        <v>2744</v>
      </c>
    </row>
    <row r="69" spans="2:21" x14ac:dyDescent="0.3">
      <c r="B69" s="18" t="s">
        <v>1400</v>
      </c>
      <c r="C69" s="47" t="s">
        <v>2173</v>
      </c>
      <c r="D69" s="15" t="s">
        <v>3847</v>
      </c>
      <c r="E69" s="20" t="s">
        <v>2274</v>
      </c>
      <c r="F69" s="49" t="s">
        <v>2</v>
      </c>
      <c r="G69" s="51" t="s">
        <v>2</v>
      </c>
      <c r="H69" s="50" t="s">
        <v>2740</v>
      </c>
      <c r="I69" s="4">
        <v>3000</v>
      </c>
      <c r="J69" s="4"/>
      <c r="K69" s="4">
        <v>3000</v>
      </c>
      <c r="L69" s="28">
        <v>80</v>
      </c>
      <c r="M69" s="48"/>
      <c r="N69" s="5" t="s">
        <v>2</v>
      </c>
      <c r="O69" s="5" t="s">
        <v>3847</v>
      </c>
      <c r="P69" s="5" t="s">
        <v>2</v>
      </c>
      <c r="Q69" s="21" t="s">
        <v>2</v>
      </c>
      <c r="R69" s="4">
        <v>3000</v>
      </c>
      <c r="S69" s="4">
        <v>3000</v>
      </c>
      <c r="T69" s="4"/>
      <c r="U69" s="52" t="s">
        <v>2</v>
      </c>
    </row>
    <row r="70" spans="2:21" x14ac:dyDescent="0.3">
      <c r="B70" s="7" t="s">
        <v>2744</v>
      </c>
      <c r="C70" s="1" t="s">
        <v>2744</v>
      </c>
      <c r="D70" s="8" t="s">
        <v>2744</v>
      </c>
      <c r="E70" s="1" t="s">
        <v>2744</v>
      </c>
      <c r="F70" s="1" t="s">
        <v>2744</v>
      </c>
      <c r="G70" s="1" t="s">
        <v>2744</v>
      </c>
      <c r="H70" s="1" t="s">
        <v>2744</v>
      </c>
      <c r="I70" s="1" t="s">
        <v>2744</v>
      </c>
      <c r="J70" s="1" t="s">
        <v>2744</v>
      </c>
      <c r="K70" s="1" t="s">
        <v>2744</v>
      </c>
      <c r="L70" s="1" t="s">
        <v>2744</v>
      </c>
      <c r="M70" s="1" t="s">
        <v>2744</v>
      </c>
      <c r="N70" s="1" t="s">
        <v>2744</v>
      </c>
      <c r="O70" s="1" t="s">
        <v>2744</v>
      </c>
      <c r="P70" s="1" t="s">
        <v>2744</v>
      </c>
      <c r="Q70" s="1" t="s">
        <v>2744</v>
      </c>
      <c r="R70" s="1" t="s">
        <v>2744</v>
      </c>
      <c r="S70" s="1" t="s">
        <v>2744</v>
      </c>
      <c r="T70" s="1" t="s">
        <v>2744</v>
      </c>
      <c r="U70" s="1" t="s">
        <v>2744</v>
      </c>
    </row>
    <row r="71" spans="2:21" ht="28" x14ac:dyDescent="0.3">
      <c r="B71" s="19" t="s">
        <v>1613</v>
      </c>
      <c r="C71" s="17" t="s">
        <v>260</v>
      </c>
      <c r="D71" s="16"/>
      <c r="E71" s="2"/>
      <c r="F71" s="2"/>
      <c r="G71" s="2"/>
      <c r="H71" s="2"/>
      <c r="I71" s="3">
        <f>SUM(GMIC_22A_SCDPT6SN1!SCDPT6SN1_17BEGIN_7:GMIC_22A_SCDPT6SN1!SCDPT6SN1_17ENDIN_7)</f>
        <v>3000</v>
      </c>
      <c r="J71" s="3">
        <f>SUM(GMIC_22A_SCDPT6SN1!SCDPT6SN1_17BEGIN_8:GMIC_22A_SCDPT6SN1!SCDPT6SN1_17ENDIN_8)</f>
        <v>0</v>
      </c>
      <c r="K71" s="3">
        <f>SUM(GMIC_22A_SCDPT6SN1!SCDPT6SN1_17BEGIN_9:GMIC_22A_SCDPT6SN1!SCDPT6SN1_17ENDIN_9)</f>
        <v>3000</v>
      </c>
      <c r="L71" s="2"/>
      <c r="M71" s="2"/>
      <c r="N71" s="2"/>
      <c r="O71" s="2"/>
      <c r="P71" s="2"/>
      <c r="Q71" s="2"/>
      <c r="R71" s="3">
        <f>SUM(GMIC_22A_SCDPT6SN1!SCDPT6SN1_17BEGIN_16:GMIC_22A_SCDPT6SN1!SCDPT6SN1_17ENDIN_16)</f>
        <v>3000</v>
      </c>
      <c r="S71" s="3">
        <f>SUM(GMIC_22A_SCDPT6SN1!SCDPT6SN1_17BEGIN_17:GMIC_22A_SCDPT6SN1!SCDPT6SN1_17ENDIN_17)</f>
        <v>3000</v>
      </c>
      <c r="T71" s="3">
        <f>SUM(GMIC_22A_SCDPT6SN1!SCDPT6SN1_17BEGIN_18:GMIC_22A_SCDPT6SN1!SCDPT6SN1_17ENDIN_18)</f>
        <v>0</v>
      </c>
      <c r="U71" s="2"/>
    </row>
    <row r="72" spans="2:21" x14ac:dyDescent="0.3">
      <c r="B72" s="19" t="s">
        <v>778</v>
      </c>
      <c r="C72" s="17" t="s">
        <v>1347</v>
      </c>
      <c r="D72" s="16"/>
      <c r="E72" s="2"/>
      <c r="F72" s="2"/>
      <c r="G72" s="2"/>
      <c r="H72" s="2"/>
      <c r="I72" s="3">
        <f>GMIC_22A_SCDPT6SN1!SCDPT6SN1_1099999_7+GMIC_22A_SCDPT6SN1!SCDPT6SN1_1199999_7+GMIC_22A_SCDPT6SN1!SCDPT6SN1_1299999_7+GMIC_22A_SCDPT6SN1!SCDPT6SN1_1399999_7+GMIC_22A_SCDPT6SN1!SCDPT6SN1_1499999_7+GMIC_22A_SCDPT6SN1!SCDPT6SN1_1599999_7+GMIC_22A_SCDPT6SN1!SCDPT6SN1_1699999_7+GMIC_22A_SCDPT6SN1!SCDPT6SN1_1799999_7</f>
        <v>3000</v>
      </c>
      <c r="J72" s="3">
        <f>GMIC_22A_SCDPT6SN1!SCDPT6SN1_1099999_8+GMIC_22A_SCDPT6SN1!SCDPT6SN1_1199999_8+GMIC_22A_SCDPT6SN1!SCDPT6SN1_1299999_8+GMIC_22A_SCDPT6SN1!SCDPT6SN1_1399999_8+GMIC_22A_SCDPT6SN1!SCDPT6SN1_1499999_8+GMIC_22A_SCDPT6SN1!SCDPT6SN1_1599999_8+GMIC_22A_SCDPT6SN1!SCDPT6SN1_1699999_8+GMIC_22A_SCDPT6SN1!SCDPT6SN1_1799999_8</f>
        <v>0</v>
      </c>
      <c r="K72" s="3">
        <f>GMIC_22A_SCDPT6SN1!SCDPT6SN1_1099999_9+GMIC_22A_SCDPT6SN1!SCDPT6SN1_1199999_9+GMIC_22A_SCDPT6SN1!SCDPT6SN1_1299999_9+GMIC_22A_SCDPT6SN1!SCDPT6SN1_1399999_9+GMIC_22A_SCDPT6SN1!SCDPT6SN1_1499999_9+GMIC_22A_SCDPT6SN1!SCDPT6SN1_1599999_9+GMIC_22A_SCDPT6SN1!SCDPT6SN1_1699999_9+GMIC_22A_SCDPT6SN1!SCDPT6SN1_1799999_9</f>
        <v>3000</v>
      </c>
      <c r="L72" s="2"/>
      <c r="M72" s="2"/>
      <c r="N72" s="2"/>
      <c r="O72" s="2"/>
      <c r="P72" s="2"/>
      <c r="Q72" s="2"/>
      <c r="R72" s="3">
        <f>GMIC_22A_SCDPT6SN1!SCDPT6SN1_1099999_16+GMIC_22A_SCDPT6SN1!SCDPT6SN1_1199999_16+GMIC_22A_SCDPT6SN1!SCDPT6SN1_1299999_16+GMIC_22A_SCDPT6SN1!SCDPT6SN1_1399999_16+GMIC_22A_SCDPT6SN1!SCDPT6SN1_1499999_16+GMIC_22A_SCDPT6SN1!SCDPT6SN1_1599999_16+GMIC_22A_SCDPT6SN1!SCDPT6SN1_1699999_16+GMIC_22A_SCDPT6SN1!SCDPT6SN1_1799999_16</f>
        <v>3000</v>
      </c>
      <c r="S72" s="3">
        <f>GMIC_22A_SCDPT6SN1!SCDPT6SN1_1099999_17+GMIC_22A_SCDPT6SN1!SCDPT6SN1_1199999_17+GMIC_22A_SCDPT6SN1!SCDPT6SN1_1299999_17+GMIC_22A_SCDPT6SN1!SCDPT6SN1_1399999_17+GMIC_22A_SCDPT6SN1!SCDPT6SN1_1499999_17+GMIC_22A_SCDPT6SN1!SCDPT6SN1_1599999_17+GMIC_22A_SCDPT6SN1!SCDPT6SN1_1699999_17+GMIC_22A_SCDPT6SN1!SCDPT6SN1_1799999_17</f>
        <v>3000</v>
      </c>
      <c r="T72" s="3">
        <f>GMIC_22A_SCDPT6SN1!SCDPT6SN1_1099999_18+GMIC_22A_SCDPT6SN1!SCDPT6SN1_1199999_18+GMIC_22A_SCDPT6SN1!SCDPT6SN1_1299999_18+GMIC_22A_SCDPT6SN1!SCDPT6SN1_1399999_18+GMIC_22A_SCDPT6SN1!SCDPT6SN1_1499999_18+GMIC_22A_SCDPT6SN1!SCDPT6SN1_1599999_18+GMIC_22A_SCDPT6SN1!SCDPT6SN1_1699999_18+GMIC_22A_SCDPT6SN1!SCDPT6SN1_1799999_18</f>
        <v>0</v>
      </c>
      <c r="U72" s="2"/>
    </row>
    <row r="73" spans="2:21" ht="28" x14ac:dyDescent="0.3">
      <c r="B73" s="61" t="s">
        <v>4537</v>
      </c>
      <c r="C73" s="56" t="s">
        <v>3848</v>
      </c>
      <c r="D73" s="65"/>
      <c r="E73" s="27"/>
      <c r="F73" s="27"/>
      <c r="G73" s="27"/>
      <c r="H73" s="27"/>
      <c r="I73" s="30">
        <f>GMIC_22A_SCDPT6SN1!SCDPT6SN1_0999999_7+GMIC_22A_SCDPT6SN1!SCDPT6SN1_1899999_7</f>
        <v>3000</v>
      </c>
      <c r="J73" s="30">
        <f>GMIC_22A_SCDPT6SN1!SCDPT6SN1_0999999_8+GMIC_22A_SCDPT6SN1!SCDPT6SN1_1899999_8</f>
        <v>0</v>
      </c>
      <c r="K73" s="30">
        <f>GMIC_22A_SCDPT6SN1!SCDPT6SN1_0999999_9+GMIC_22A_SCDPT6SN1!SCDPT6SN1_1899999_9</f>
        <v>3000</v>
      </c>
      <c r="L73" s="27"/>
      <c r="M73" s="27"/>
      <c r="N73" s="27"/>
      <c r="O73" s="27"/>
      <c r="P73" s="27"/>
      <c r="Q73" s="27"/>
      <c r="R73" s="30">
        <f>GMIC_22A_SCDPT6SN1!SCDPT6SN1_0999999_16+GMIC_22A_SCDPT6SN1!SCDPT6SN1_1899999_16</f>
        <v>3000</v>
      </c>
      <c r="S73" s="30">
        <f>GMIC_22A_SCDPT6SN1!SCDPT6SN1_0999999_17+GMIC_22A_SCDPT6SN1!SCDPT6SN1_1899999_17</f>
        <v>3000</v>
      </c>
      <c r="T73" s="30">
        <f>GMIC_22A_SCDPT6SN1!SCDPT6SN1_0999999_18+GMIC_22A_SCDPT6SN1!SCDPT6SN1_1899999_18</f>
        <v>0</v>
      </c>
      <c r="U73" s="27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&amp;CSCDPT6SN1SCDPT6SN1</oddHeader>
    <oddFooter>&amp;LWing Application : &amp;R SaveAs(3/3/2023-8:37 AM)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F7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25.75" customWidth="1"/>
    <col min="4" max="4" width="14.75" customWidth="1"/>
  </cols>
  <sheetData>
    <row r="1" spans="2:6" x14ac:dyDescent="0.3">
      <c r="C1" s="35" t="s">
        <v>1614</v>
      </c>
      <c r="D1" s="35" t="s">
        <v>1158</v>
      </c>
      <c r="E1" s="35" t="s">
        <v>1615</v>
      </c>
      <c r="F1" s="35" t="s">
        <v>264</v>
      </c>
    </row>
    <row r="2" spans="2:6" ht="30" x14ac:dyDescent="0.3">
      <c r="B2" s="57"/>
      <c r="C2" s="44" t="str">
        <f>GMIC_22A_SCDPT1!Wings_Company_ID</f>
        <v>GMIC</v>
      </c>
      <c r="D2" s="44" t="str">
        <f>GMIC_22A_SCDPT1!Wings_Statement_ID</f>
        <v>22A</v>
      </c>
      <c r="E2" s="42" t="s">
        <v>3644</v>
      </c>
      <c r="F2" s="42" t="s">
        <v>1155</v>
      </c>
    </row>
    <row r="3" spans="2:6" ht="40" customHeight="1" x14ac:dyDescent="0.3">
      <c r="B3" s="62" t="s">
        <v>265</v>
      </c>
      <c r="C3" s="11"/>
      <c r="D3" s="11"/>
    </row>
    <row r="4" spans="2:6" ht="40" customHeight="1" x14ac:dyDescent="0.4">
      <c r="B4" s="63" t="s">
        <v>2264</v>
      </c>
      <c r="C4" s="11"/>
      <c r="D4" s="11"/>
    </row>
    <row r="5" spans="2:6" x14ac:dyDescent="0.3">
      <c r="B5" s="59"/>
      <c r="C5" s="74"/>
      <c r="D5" s="12">
        <v>1</v>
      </c>
    </row>
    <row r="6" spans="2:6" x14ac:dyDescent="0.3">
      <c r="B6" s="58"/>
      <c r="C6" s="79"/>
      <c r="D6" s="13" t="s">
        <v>1156</v>
      </c>
    </row>
    <row r="7" spans="2:6" ht="28" x14ac:dyDescent="0.3">
      <c r="B7" s="61" t="s">
        <v>3888</v>
      </c>
      <c r="C7" s="56" t="s">
        <v>779</v>
      </c>
      <c r="D7" s="8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&amp;CSCDPT6SN1FSCDPT6SN1F</oddHeader>
    <oddFooter>&amp;LWing Application : &amp;R SaveAs(3/3/2023-8:37 AM)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I15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25.75" customWidth="1"/>
    <col min="4" max="5" width="10.75" customWidth="1"/>
    <col min="6" max="6" width="14.75" customWidth="1"/>
    <col min="7" max="7" width="12.75" customWidth="1"/>
    <col min="8" max="9" width="10.75" customWidth="1"/>
  </cols>
  <sheetData>
    <row r="1" spans="2:9" x14ac:dyDescent="0.3">
      <c r="C1" s="35" t="s">
        <v>1614</v>
      </c>
      <c r="D1" s="35" t="s">
        <v>1158</v>
      </c>
      <c r="E1" s="35" t="s">
        <v>1615</v>
      </c>
      <c r="F1" s="35" t="s">
        <v>264</v>
      </c>
    </row>
    <row r="2" spans="2:9" ht="20" x14ac:dyDescent="0.3">
      <c r="B2" s="57"/>
      <c r="C2" s="44" t="str">
        <f>GMIC_22A_SCDPT1!Wings_Company_ID</f>
        <v>GMIC</v>
      </c>
      <c r="D2" s="44" t="str">
        <f>GMIC_22A_SCDPT1!Wings_Statement_ID</f>
        <v>22A</v>
      </c>
      <c r="E2" s="42" t="s">
        <v>261</v>
      </c>
      <c r="F2" s="42" t="s">
        <v>262</v>
      </c>
    </row>
    <row r="3" spans="2:9" ht="40" customHeight="1" x14ac:dyDescent="0.3">
      <c r="B3" s="62" t="s">
        <v>265</v>
      </c>
      <c r="C3" s="11"/>
      <c r="D3" s="11"/>
      <c r="E3" s="11"/>
      <c r="F3" s="11"/>
      <c r="G3" s="11"/>
      <c r="H3" s="11"/>
      <c r="I3" s="11"/>
    </row>
    <row r="4" spans="2:9" ht="40" customHeight="1" x14ac:dyDescent="0.4">
      <c r="B4" s="63" t="s">
        <v>497</v>
      </c>
      <c r="C4" s="11"/>
      <c r="D4" s="11"/>
      <c r="E4" s="11"/>
      <c r="F4" s="11"/>
      <c r="G4" s="11"/>
      <c r="H4" s="11"/>
      <c r="I4" s="11"/>
    </row>
    <row r="5" spans="2:9" x14ac:dyDescent="0.3">
      <c r="B5" s="59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</row>
    <row r="6" spans="2:9" ht="92.5" x14ac:dyDescent="0.3">
      <c r="B6" s="58"/>
      <c r="C6" s="13" t="s">
        <v>3889</v>
      </c>
      <c r="D6" s="13" t="s">
        <v>1157</v>
      </c>
      <c r="E6" s="13" t="s">
        <v>3049</v>
      </c>
      <c r="F6" s="13" t="s">
        <v>2267</v>
      </c>
      <c r="G6" s="13" t="s">
        <v>498</v>
      </c>
      <c r="H6" s="13" t="s">
        <v>2526</v>
      </c>
      <c r="I6" s="13" t="s">
        <v>3407</v>
      </c>
    </row>
    <row r="7" spans="2:9" x14ac:dyDescent="0.3">
      <c r="B7" s="7" t="s">
        <v>2744</v>
      </c>
      <c r="C7" s="1" t="s">
        <v>2744</v>
      </c>
      <c r="D7" s="8" t="s">
        <v>2744</v>
      </c>
      <c r="E7" s="1" t="s">
        <v>2744</v>
      </c>
      <c r="F7" s="1" t="s">
        <v>2744</v>
      </c>
      <c r="G7" s="1" t="s">
        <v>2744</v>
      </c>
      <c r="H7" s="1" t="s">
        <v>2744</v>
      </c>
      <c r="I7" s="1" t="s">
        <v>2744</v>
      </c>
    </row>
    <row r="8" spans="2:9" x14ac:dyDescent="0.3">
      <c r="B8" s="18" t="s">
        <v>1906</v>
      </c>
      <c r="C8" s="25" t="s">
        <v>3897</v>
      </c>
      <c r="D8" s="15" t="s">
        <v>2</v>
      </c>
      <c r="E8" s="5" t="s">
        <v>2</v>
      </c>
      <c r="F8" s="4"/>
      <c r="G8" s="28"/>
      <c r="H8" s="48"/>
      <c r="I8" s="5" t="s">
        <v>2</v>
      </c>
    </row>
    <row r="9" spans="2:9" x14ac:dyDescent="0.3">
      <c r="B9" s="7" t="s">
        <v>2744</v>
      </c>
      <c r="C9" s="1" t="s">
        <v>2744</v>
      </c>
      <c r="D9" s="8" t="s">
        <v>2744</v>
      </c>
      <c r="E9" s="1" t="s">
        <v>2744</v>
      </c>
      <c r="F9" s="1" t="s">
        <v>2744</v>
      </c>
      <c r="G9" s="1" t="s">
        <v>2744</v>
      </c>
      <c r="H9" s="1" t="s">
        <v>2744</v>
      </c>
      <c r="I9" s="1" t="s">
        <v>2744</v>
      </c>
    </row>
    <row r="10" spans="2:9" x14ac:dyDescent="0.3">
      <c r="B10" s="19" t="s">
        <v>3646</v>
      </c>
      <c r="C10" s="17" t="s">
        <v>263</v>
      </c>
      <c r="D10" s="16"/>
      <c r="E10" s="2"/>
      <c r="F10" s="3">
        <f>SUM(GMIC_22A_SCDPT6SN2!SCDPT6SN2_01BEGIN_4:GMIC_22A_SCDPT6SN2!SCDPT6SN2_01ENDIN_4)</f>
        <v>0</v>
      </c>
      <c r="G10" s="2"/>
      <c r="H10" s="2"/>
      <c r="I10" s="2"/>
    </row>
    <row r="11" spans="2:9" x14ac:dyDescent="0.3">
      <c r="B11" s="7" t="s">
        <v>2744</v>
      </c>
      <c r="C11" s="1" t="s">
        <v>2744</v>
      </c>
      <c r="D11" s="8" t="s">
        <v>2744</v>
      </c>
      <c r="E11" s="1" t="s">
        <v>2744</v>
      </c>
      <c r="F11" s="1" t="s">
        <v>2744</v>
      </c>
      <c r="G11" s="1" t="s">
        <v>2744</v>
      </c>
      <c r="H11" s="1" t="s">
        <v>2744</v>
      </c>
      <c r="I11" s="1" t="s">
        <v>2744</v>
      </c>
    </row>
    <row r="12" spans="2:9" x14ac:dyDescent="0.3">
      <c r="B12" s="18" t="s">
        <v>1399</v>
      </c>
      <c r="C12" s="25" t="s">
        <v>3897</v>
      </c>
      <c r="D12" s="15" t="s">
        <v>2</v>
      </c>
      <c r="E12" s="5" t="s">
        <v>2</v>
      </c>
      <c r="F12" s="4"/>
      <c r="G12" s="28"/>
      <c r="H12" s="48"/>
      <c r="I12" s="5" t="s">
        <v>2</v>
      </c>
    </row>
    <row r="13" spans="2:9" x14ac:dyDescent="0.3">
      <c r="B13" s="7" t="s">
        <v>2744</v>
      </c>
      <c r="C13" s="1" t="s">
        <v>2744</v>
      </c>
      <c r="D13" s="8" t="s">
        <v>2744</v>
      </c>
      <c r="E13" s="1" t="s">
        <v>2744</v>
      </c>
      <c r="F13" s="1" t="s">
        <v>2744</v>
      </c>
      <c r="G13" s="1" t="s">
        <v>2744</v>
      </c>
      <c r="H13" s="1" t="s">
        <v>2744</v>
      </c>
      <c r="I13" s="1" t="s">
        <v>2744</v>
      </c>
    </row>
    <row r="14" spans="2:9" x14ac:dyDescent="0.3">
      <c r="B14" s="19" t="s">
        <v>2736</v>
      </c>
      <c r="C14" s="17" t="s">
        <v>2741</v>
      </c>
      <c r="D14" s="16"/>
      <c r="E14" s="2"/>
      <c r="F14" s="3">
        <f>SUM(GMIC_22A_SCDPT6SN2!SCDPT6SN2_02BEGIN_4:GMIC_22A_SCDPT6SN2!SCDPT6SN2_02ENDIN_4)</f>
        <v>0</v>
      </c>
      <c r="G14" s="2"/>
      <c r="H14" s="2"/>
      <c r="I14" s="2"/>
    </row>
    <row r="15" spans="2:9" x14ac:dyDescent="0.3">
      <c r="B15" s="61" t="s">
        <v>1908</v>
      </c>
      <c r="C15" s="56" t="s">
        <v>2742</v>
      </c>
      <c r="D15" s="65"/>
      <c r="E15" s="27"/>
      <c r="F15" s="30">
        <f>GMIC_22A_SCDPT6SN2!SCDPT6SN2_0199999_4+GMIC_22A_SCDPT6SN2!SCDPT6SN2_0299999_4</f>
        <v>0</v>
      </c>
      <c r="G15" s="27"/>
      <c r="H15" s="27"/>
      <c r="I15" s="27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&amp;CSCDPT6SN2SCDPT6SN2</oddHeader>
    <oddFooter>&amp;LWing Application : &amp;R SaveAs(3/3/2023-8:37 AM)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12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18.75" customWidth="1"/>
    <col min="4" max="10" width="14.75" customWidth="1"/>
  </cols>
  <sheetData>
    <row r="1" spans="2:10" x14ac:dyDescent="0.3">
      <c r="C1" s="35" t="s">
        <v>1614</v>
      </c>
      <c r="D1" s="35" t="s">
        <v>1158</v>
      </c>
      <c r="E1" s="35" t="s">
        <v>1615</v>
      </c>
      <c r="F1" s="35" t="s">
        <v>264</v>
      </c>
    </row>
    <row r="2" spans="2:10" ht="20" x14ac:dyDescent="0.3">
      <c r="B2" s="57"/>
      <c r="C2" s="44" t="str">
        <f>GMIC_22A_SCDPT1!Wings_Company_ID</f>
        <v>GMIC</v>
      </c>
      <c r="D2" s="44" t="str">
        <f>GMIC_22A_SCDPT1!Wings_Statement_ID</f>
        <v>22A</v>
      </c>
      <c r="E2" s="42" t="s">
        <v>1616</v>
      </c>
      <c r="F2" s="42" t="s">
        <v>1049</v>
      </c>
    </row>
    <row r="3" spans="2:10" ht="40" customHeight="1" x14ac:dyDescent="0.3">
      <c r="B3" s="62" t="s">
        <v>265</v>
      </c>
      <c r="C3" s="11"/>
      <c r="D3" s="11"/>
      <c r="E3" s="11"/>
      <c r="F3" s="11"/>
      <c r="G3" s="11"/>
      <c r="H3" s="11"/>
      <c r="I3" s="11"/>
      <c r="J3" s="11"/>
    </row>
    <row r="4" spans="2:10" ht="40" customHeight="1" x14ac:dyDescent="0.4">
      <c r="B4" s="63" t="s">
        <v>0</v>
      </c>
      <c r="C4" s="11"/>
      <c r="D4" s="11"/>
      <c r="E4" s="11"/>
      <c r="F4" s="11"/>
      <c r="G4" s="11"/>
      <c r="H4" s="11"/>
      <c r="I4" s="11"/>
      <c r="J4" s="11"/>
    </row>
    <row r="5" spans="2:10" x14ac:dyDescent="0.3">
      <c r="B5" s="59"/>
      <c r="C5" s="74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12">
        <v>6</v>
      </c>
      <c r="J5" s="12">
        <v>7</v>
      </c>
    </row>
    <row r="6" spans="2:10" ht="23.5" x14ac:dyDescent="0.3">
      <c r="B6" s="58"/>
      <c r="C6" s="79"/>
      <c r="D6" s="13" t="s">
        <v>3304</v>
      </c>
      <c r="E6" s="13" t="s">
        <v>3596</v>
      </c>
      <c r="F6" s="13" t="s">
        <v>3841</v>
      </c>
      <c r="G6" s="13" t="s">
        <v>4113</v>
      </c>
      <c r="H6" s="13" t="s">
        <v>4448</v>
      </c>
      <c r="I6" s="13" t="s">
        <v>193</v>
      </c>
      <c r="J6" s="13" t="s">
        <v>446</v>
      </c>
    </row>
    <row r="7" spans="2:10" x14ac:dyDescent="0.3">
      <c r="B7" s="76" t="s">
        <v>3305</v>
      </c>
      <c r="C7" s="78" t="s">
        <v>1339</v>
      </c>
      <c r="D7" s="80">
        <v>433106194</v>
      </c>
      <c r="E7" s="24">
        <v>203274823</v>
      </c>
      <c r="F7" s="24">
        <v>461230738</v>
      </c>
      <c r="G7" s="24">
        <v>206368999</v>
      </c>
      <c r="H7" s="24">
        <v>359956448</v>
      </c>
      <c r="I7" s="24">
        <v>723114940</v>
      </c>
      <c r="J7" s="24">
        <v>651387294</v>
      </c>
    </row>
    <row r="8" spans="2:10" x14ac:dyDescent="0.3">
      <c r="B8" s="76" t="s">
        <v>4449</v>
      </c>
      <c r="C8" s="78" t="s">
        <v>2470</v>
      </c>
      <c r="D8" s="80">
        <v>583734645</v>
      </c>
      <c r="E8" s="24">
        <v>876533180</v>
      </c>
      <c r="F8" s="24">
        <v>453986905</v>
      </c>
      <c r="G8" s="2"/>
      <c r="H8" s="2"/>
      <c r="I8" s="2"/>
      <c r="J8" s="2"/>
    </row>
    <row r="9" spans="2:10" x14ac:dyDescent="0.3">
      <c r="B9" s="76" t="s">
        <v>1050</v>
      </c>
      <c r="C9" s="78" t="s">
        <v>3842</v>
      </c>
      <c r="D9" s="80">
        <v>31554102</v>
      </c>
      <c r="E9" s="24">
        <v>38156345</v>
      </c>
      <c r="F9" s="24">
        <v>33392015</v>
      </c>
      <c r="G9" s="2"/>
      <c r="H9" s="2"/>
      <c r="I9" s="2"/>
      <c r="J9" s="2"/>
    </row>
    <row r="10" spans="2:10" x14ac:dyDescent="0.3">
      <c r="B10" s="76" t="s">
        <v>2170</v>
      </c>
      <c r="C10" s="78" t="s">
        <v>447</v>
      </c>
      <c r="D10" s="80">
        <v>0</v>
      </c>
      <c r="E10" s="24">
        <v>0</v>
      </c>
      <c r="F10" s="24">
        <v>0</v>
      </c>
      <c r="G10" s="2"/>
      <c r="H10" s="2"/>
      <c r="I10" s="2"/>
      <c r="J10" s="2"/>
    </row>
    <row r="11" spans="2:10" x14ac:dyDescent="0.3">
      <c r="B11" s="76" t="s">
        <v>3597</v>
      </c>
      <c r="C11" s="78" t="s">
        <v>1570</v>
      </c>
      <c r="D11" s="80">
        <v>0</v>
      </c>
      <c r="E11" s="24">
        <v>0</v>
      </c>
      <c r="F11" s="24">
        <v>0</v>
      </c>
      <c r="G11" s="2"/>
      <c r="H11" s="2"/>
      <c r="I11" s="2"/>
      <c r="J11" s="2"/>
    </row>
    <row r="12" spans="2:10" x14ac:dyDescent="0.3">
      <c r="B12" s="61" t="s">
        <v>194</v>
      </c>
      <c r="C12" s="56" t="s">
        <v>2688</v>
      </c>
      <c r="D12" s="82">
        <v>0</v>
      </c>
      <c r="E12" s="27"/>
      <c r="F12" s="27"/>
      <c r="G12" s="27"/>
      <c r="H12" s="27"/>
      <c r="I12" s="27"/>
      <c r="J12" s="27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&amp;CSCDPT1FSCDPT1F</oddHeader>
    <oddFooter>&amp;LWing Application : &amp;R SaveAs(3/3/2023-8:37 AM)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25"/>
  <sheetViews>
    <sheetView workbookViewId="0"/>
  </sheetViews>
  <sheetFormatPr defaultRowHeight="14" x14ac:dyDescent="0.3"/>
  <cols>
    <col min="1" max="1" width="1.75" customWidth="1"/>
    <col min="2" max="2" width="12.75" customWidth="1"/>
    <col min="3" max="3" width="25.75" customWidth="1"/>
    <col min="4" max="6" width="10.75" customWidth="1"/>
    <col min="7" max="9" width="12.75" customWidth="1"/>
    <col min="10" max="10" width="14.75" customWidth="1"/>
    <col min="11" max="11" width="12.75" customWidth="1"/>
    <col min="12" max="21" width="14.75" customWidth="1"/>
    <col min="22" max="33" width="10.75" customWidth="1"/>
  </cols>
  <sheetData>
    <row r="1" spans="2:33" x14ac:dyDescent="0.3">
      <c r="C1" s="35" t="s">
        <v>1614</v>
      </c>
      <c r="D1" s="35" t="s">
        <v>1158</v>
      </c>
      <c r="E1" s="35" t="s">
        <v>1615</v>
      </c>
      <c r="F1" s="35" t="s">
        <v>264</v>
      </c>
    </row>
    <row r="2" spans="2:33" ht="20" x14ac:dyDescent="0.3">
      <c r="B2" s="57"/>
      <c r="C2" s="44" t="str">
        <f>GMIC_22A_SCDPT1!Wings_Company_ID</f>
        <v>GMIC</v>
      </c>
      <c r="D2" s="44" t="str">
        <f>GMIC_22A_SCDPT1!Wings_Statement_ID</f>
        <v>22A</v>
      </c>
      <c r="E2" s="42" t="s">
        <v>195</v>
      </c>
      <c r="F2" s="42" t="s">
        <v>448</v>
      </c>
    </row>
    <row r="3" spans="2:33" ht="40" customHeight="1" x14ac:dyDescent="0.3">
      <c r="B3" s="62" t="s">
        <v>265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2:33" ht="40" customHeight="1" x14ac:dyDescent="0.4">
      <c r="B4" s="63" t="s">
        <v>2171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2:33" x14ac:dyDescent="0.3">
      <c r="B5" s="59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  <c r="O5" s="12">
        <v>13</v>
      </c>
      <c r="P5" s="12">
        <v>14</v>
      </c>
      <c r="Q5" s="12">
        <v>15</v>
      </c>
      <c r="R5" s="12">
        <v>16</v>
      </c>
      <c r="S5" s="12">
        <v>17</v>
      </c>
      <c r="T5" s="12">
        <v>18</v>
      </c>
      <c r="U5" s="12">
        <v>19</v>
      </c>
      <c r="V5" s="12">
        <v>20.010000000000002</v>
      </c>
      <c r="W5" s="12">
        <v>20.02</v>
      </c>
      <c r="X5" s="12">
        <v>20.03</v>
      </c>
      <c r="Y5" s="12">
        <v>21</v>
      </c>
      <c r="Z5" s="12">
        <v>22</v>
      </c>
      <c r="AA5" s="12">
        <v>23</v>
      </c>
      <c r="AB5" s="12">
        <v>24</v>
      </c>
      <c r="AC5" s="12">
        <v>25</v>
      </c>
      <c r="AD5" s="12">
        <v>26</v>
      </c>
      <c r="AE5" s="12">
        <v>27</v>
      </c>
      <c r="AF5" s="12">
        <v>28</v>
      </c>
      <c r="AG5" s="12">
        <v>29</v>
      </c>
    </row>
    <row r="6" spans="2:33" ht="92.5" x14ac:dyDescent="0.3">
      <c r="B6" s="58"/>
      <c r="C6" s="13" t="s">
        <v>3889</v>
      </c>
      <c r="D6" s="13" t="s">
        <v>1912</v>
      </c>
      <c r="E6" s="13" t="s">
        <v>1913</v>
      </c>
      <c r="F6" s="13" t="s">
        <v>3405</v>
      </c>
      <c r="G6" s="13" t="s">
        <v>3598</v>
      </c>
      <c r="H6" s="13" t="s">
        <v>1571</v>
      </c>
      <c r="I6" s="13" t="s">
        <v>196</v>
      </c>
      <c r="J6" s="13" t="s">
        <v>780</v>
      </c>
      <c r="K6" s="13" t="s">
        <v>1051</v>
      </c>
      <c r="L6" s="13" t="s">
        <v>3890</v>
      </c>
      <c r="M6" s="13" t="s">
        <v>1401</v>
      </c>
      <c r="N6" s="13" t="s">
        <v>197</v>
      </c>
      <c r="O6" s="13" t="s">
        <v>449</v>
      </c>
      <c r="P6" s="13" t="s">
        <v>3599</v>
      </c>
      <c r="Q6" s="13" t="s">
        <v>781</v>
      </c>
      <c r="R6" s="13" t="s">
        <v>2528</v>
      </c>
      <c r="S6" s="13" t="s">
        <v>2743</v>
      </c>
      <c r="T6" s="13" t="s">
        <v>4114</v>
      </c>
      <c r="U6" s="13" t="s">
        <v>1</v>
      </c>
      <c r="V6" s="13" t="s">
        <v>2527</v>
      </c>
      <c r="W6" s="13" t="s">
        <v>2268</v>
      </c>
      <c r="X6" s="13" t="s">
        <v>501</v>
      </c>
      <c r="Y6" s="13" t="s">
        <v>2530</v>
      </c>
      <c r="Z6" s="13" t="s">
        <v>1620</v>
      </c>
      <c r="AA6" s="13" t="s">
        <v>3891</v>
      </c>
      <c r="AB6" s="13" t="s">
        <v>3407</v>
      </c>
      <c r="AC6" s="13" t="s">
        <v>3050</v>
      </c>
      <c r="AD6" s="13" t="s">
        <v>504</v>
      </c>
      <c r="AE6" s="13" t="s">
        <v>2531</v>
      </c>
      <c r="AF6" s="13" t="s">
        <v>1159</v>
      </c>
      <c r="AG6" s="13" t="s">
        <v>2532</v>
      </c>
    </row>
    <row r="7" spans="2:33" x14ac:dyDescent="0.3">
      <c r="B7" s="7" t="s">
        <v>2744</v>
      </c>
      <c r="C7" s="1" t="s">
        <v>2744</v>
      </c>
      <c r="D7" s="8" t="s">
        <v>2744</v>
      </c>
      <c r="E7" s="1" t="s">
        <v>2744</v>
      </c>
      <c r="F7" s="1" t="s">
        <v>2744</v>
      </c>
      <c r="G7" s="1" t="s">
        <v>2744</v>
      </c>
      <c r="H7" s="1" t="s">
        <v>2744</v>
      </c>
      <c r="I7" s="1" t="s">
        <v>2744</v>
      </c>
      <c r="J7" s="1" t="s">
        <v>2744</v>
      </c>
      <c r="K7" s="1" t="s">
        <v>2744</v>
      </c>
      <c r="L7" s="1" t="s">
        <v>2744</v>
      </c>
      <c r="M7" s="1" t="s">
        <v>2744</v>
      </c>
      <c r="N7" s="1" t="s">
        <v>2744</v>
      </c>
      <c r="O7" s="1" t="s">
        <v>2744</v>
      </c>
      <c r="P7" s="1" t="s">
        <v>2744</v>
      </c>
      <c r="Q7" s="1" t="s">
        <v>2744</v>
      </c>
      <c r="R7" s="1" t="s">
        <v>2744</v>
      </c>
      <c r="S7" s="1" t="s">
        <v>2744</v>
      </c>
      <c r="T7" s="1" t="s">
        <v>2744</v>
      </c>
      <c r="U7" s="1" t="s">
        <v>2744</v>
      </c>
      <c r="V7" s="1" t="s">
        <v>2744</v>
      </c>
      <c r="W7" s="1" t="s">
        <v>2744</v>
      </c>
      <c r="X7" s="1" t="s">
        <v>2744</v>
      </c>
      <c r="Y7" s="1" t="s">
        <v>2744</v>
      </c>
      <c r="Z7" s="1" t="s">
        <v>2744</v>
      </c>
      <c r="AA7" s="1" t="s">
        <v>2744</v>
      </c>
      <c r="AB7" s="1" t="s">
        <v>2744</v>
      </c>
      <c r="AC7" s="1" t="s">
        <v>2744</v>
      </c>
      <c r="AD7" s="1" t="s">
        <v>2744</v>
      </c>
      <c r="AE7" s="1" t="s">
        <v>2744</v>
      </c>
      <c r="AF7" s="1" t="s">
        <v>2744</v>
      </c>
      <c r="AG7" s="1" t="s">
        <v>2744</v>
      </c>
    </row>
    <row r="8" spans="2:33" x14ac:dyDescent="0.3">
      <c r="B8" s="18" t="s">
        <v>4115</v>
      </c>
      <c r="C8" s="25" t="s">
        <v>3897</v>
      </c>
      <c r="D8" s="15" t="s">
        <v>2</v>
      </c>
      <c r="E8" s="53" t="s">
        <v>2</v>
      </c>
      <c r="F8" s="20" t="s">
        <v>2</v>
      </c>
      <c r="G8" s="28"/>
      <c r="H8" s="60"/>
      <c r="I8" s="23"/>
      <c r="J8" s="4"/>
      <c r="K8" s="23"/>
      <c r="L8" s="4"/>
      <c r="M8" s="4"/>
      <c r="N8" s="4"/>
      <c r="O8" s="4"/>
      <c r="P8" s="4"/>
      <c r="Q8" s="4"/>
      <c r="R8" s="4"/>
      <c r="S8" s="4"/>
      <c r="T8" s="24"/>
      <c r="U8" s="4"/>
      <c r="V8" s="32" t="s">
        <v>2</v>
      </c>
      <c r="W8" s="33" t="s">
        <v>2</v>
      </c>
      <c r="X8" s="77" t="s">
        <v>2</v>
      </c>
      <c r="Y8" s="6"/>
      <c r="Z8" s="31" t="s">
        <v>2</v>
      </c>
      <c r="AA8" s="5" t="s">
        <v>2</v>
      </c>
      <c r="AB8" s="5" t="s">
        <v>2</v>
      </c>
      <c r="AC8" s="5" t="s">
        <v>2</v>
      </c>
      <c r="AD8" s="5" t="s">
        <v>2</v>
      </c>
      <c r="AE8" s="21" t="s">
        <v>2</v>
      </c>
      <c r="AF8" s="26" t="s">
        <v>2</v>
      </c>
      <c r="AG8" s="34" t="s">
        <v>2</v>
      </c>
    </row>
    <row r="9" spans="2:33" x14ac:dyDescent="0.3">
      <c r="B9" s="7" t="s">
        <v>2744</v>
      </c>
      <c r="C9" s="1" t="s">
        <v>2744</v>
      </c>
      <c r="D9" s="8" t="s">
        <v>2744</v>
      </c>
      <c r="E9" s="1" t="s">
        <v>2744</v>
      </c>
      <c r="F9" s="1" t="s">
        <v>2744</v>
      </c>
      <c r="G9" s="1" t="s">
        <v>2744</v>
      </c>
      <c r="H9" s="1" t="s">
        <v>2744</v>
      </c>
      <c r="I9" s="1" t="s">
        <v>2744</v>
      </c>
      <c r="J9" s="1" t="s">
        <v>2744</v>
      </c>
      <c r="K9" s="1" t="s">
        <v>2744</v>
      </c>
      <c r="L9" s="1" t="s">
        <v>2744</v>
      </c>
      <c r="M9" s="1" t="s">
        <v>2744</v>
      </c>
      <c r="N9" s="1" t="s">
        <v>2744</v>
      </c>
      <c r="O9" s="1" t="s">
        <v>2744</v>
      </c>
      <c r="P9" s="1" t="s">
        <v>2744</v>
      </c>
      <c r="Q9" s="1" t="s">
        <v>2744</v>
      </c>
      <c r="R9" s="1" t="s">
        <v>2744</v>
      </c>
      <c r="S9" s="1" t="s">
        <v>2744</v>
      </c>
      <c r="T9" s="1" t="s">
        <v>2744</v>
      </c>
      <c r="U9" s="1" t="s">
        <v>2744</v>
      </c>
      <c r="V9" s="1" t="s">
        <v>2744</v>
      </c>
      <c r="W9" s="1" t="s">
        <v>2744</v>
      </c>
      <c r="X9" s="1" t="s">
        <v>2744</v>
      </c>
      <c r="Y9" s="1" t="s">
        <v>2744</v>
      </c>
      <c r="Z9" s="1" t="s">
        <v>2744</v>
      </c>
      <c r="AA9" s="1" t="s">
        <v>2744</v>
      </c>
      <c r="AB9" s="1" t="s">
        <v>2744</v>
      </c>
      <c r="AC9" s="1" t="s">
        <v>2744</v>
      </c>
      <c r="AD9" s="1" t="s">
        <v>2744</v>
      </c>
      <c r="AE9" s="1" t="s">
        <v>2744</v>
      </c>
      <c r="AF9" s="1" t="s">
        <v>2744</v>
      </c>
      <c r="AG9" s="1" t="s">
        <v>2744</v>
      </c>
    </row>
    <row r="10" spans="2:33" ht="56" x14ac:dyDescent="0.3">
      <c r="B10" s="19" t="s">
        <v>700</v>
      </c>
      <c r="C10" s="17" t="s">
        <v>4450</v>
      </c>
      <c r="D10" s="16"/>
      <c r="E10" s="2"/>
      <c r="F10" s="2"/>
      <c r="G10" s="2"/>
      <c r="H10" s="2"/>
      <c r="I10" s="2"/>
      <c r="J10" s="3">
        <f>SUM(GMIC_22A_SCDPT2SN1!SCDPT2SN1_401BEGINNG_8:GMIC_22A_SCDPT2SN1!SCDPT2SN1_401ENDINGG_8)</f>
        <v>0</v>
      </c>
      <c r="K10" s="2"/>
      <c r="L10" s="3">
        <f>SUM(GMIC_22A_SCDPT2SN1!SCDPT2SN1_401BEGINNG_10:GMIC_22A_SCDPT2SN1!SCDPT2SN1_401ENDINGG_10)</f>
        <v>0</v>
      </c>
      <c r="M10" s="3">
        <f>SUM(GMIC_22A_SCDPT2SN1!SCDPT2SN1_401BEGINNG_11:GMIC_22A_SCDPT2SN1!SCDPT2SN1_401ENDINGG_11)</f>
        <v>0</v>
      </c>
      <c r="N10" s="3">
        <f>SUM(GMIC_22A_SCDPT2SN1!SCDPT2SN1_401BEGINNG_12:GMIC_22A_SCDPT2SN1!SCDPT2SN1_401ENDINGG_12)</f>
        <v>0</v>
      </c>
      <c r="O10" s="3">
        <f>SUM(GMIC_22A_SCDPT2SN1!SCDPT2SN1_401BEGINNG_13:GMIC_22A_SCDPT2SN1!SCDPT2SN1_401ENDINGG_13)</f>
        <v>0</v>
      </c>
      <c r="P10" s="3">
        <f>SUM(GMIC_22A_SCDPT2SN1!SCDPT2SN1_401BEGINNG_14:GMIC_22A_SCDPT2SN1!SCDPT2SN1_401ENDINGG_14)</f>
        <v>0</v>
      </c>
      <c r="Q10" s="3">
        <f>SUM(GMIC_22A_SCDPT2SN1!SCDPT2SN1_401BEGINNG_15:GMIC_22A_SCDPT2SN1!SCDPT2SN1_401ENDINGG_15)</f>
        <v>0</v>
      </c>
      <c r="R10" s="3">
        <f>SUM(GMIC_22A_SCDPT2SN1!SCDPT2SN1_401BEGINNG_16:GMIC_22A_SCDPT2SN1!SCDPT2SN1_401ENDINGG_16)</f>
        <v>0</v>
      </c>
      <c r="S10" s="3">
        <f>SUM(GMIC_22A_SCDPT2SN1!SCDPT2SN1_401BEGINNG_17:GMIC_22A_SCDPT2SN1!SCDPT2SN1_401ENDINGG_17)</f>
        <v>0</v>
      </c>
      <c r="T10" s="3">
        <f>SUM(GMIC_22A_SCDPT2SN1!SCDPT2SN1_401BEGINNG_18:GMIC_22A_SCDPT2SN1!SCDPT2SN1_401ENDINGG_18)</f>
        <v>0</v>
      </c>
      <c r="U10" s="3">
        <f>SUM(GMIC_22A_SCDPT2SN1!SCDPT2SN1_401BEGINNG_19:GMIC_22A_SCDPT2SN1!SCDPT2SN1_401ENDINGG_19)</f>
        <v>0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2:33" x14ac:dyDescent="0.3">
      <c r="B11" s="7" t="s">
        <v>2744</v>
      </c>
      <c r="C11" s="1" t="s">
        <v>2744</v>
      </c>
      <c r="D11" s="8" t="s">
        <v>2744</v>
      </c>
      <c r="E11" s="1" t="s">
        <v>2744</v>
      </c>
      <c r="F11" s="1" t="s">
        <v>2744</v>
      </c>
      <c r="G11" s="1" t="s">
        <v>2744</v>
      </c>
      <c r="H11" s="1" t="s">
        <v>2744</v>
      </c>
      <c r="I11" s="1" t="s">
        <v>2744</v>
      </c>
      <c r="J11" s="1" t="s">
        <v>2744</v>
      </c>
      <c r="K11" s="1" t="s">
        <v>2744</v>
      </c>
      <c r="L11" s="1" t="s">
        <v>2744</v>
      </c>
      <c r="M11" s="1" t="s">
        <v>2744</v>
      </c>
      <c r="N11" s="1" t="s">
        <v>2744</v>
      </c>
      <c r="O11" s="1" t="s">
        <v>2744</v>
      </c>
      <c r="P11" s="1" t="s">
        <v>2744</v>
      </c>
      <c r="Q11" s="1" t="s">
        <v>2744</v>
      </c>
      <c r="R11" s="1" t="s">
        <v>2744</v>
      </c>
      <c r="S11" s="1" t="s">
        <v>2744</v>
      </c>
      <c r="T11" s="1" t="s">
        <v>2744</v>
      </c>
      <c r="U11" s="1" t="s">
        <v>2744</v>
      </c>
      <c r="V11" s="1" t="s">
        <v>2744</v>
      </c>
      <c r="W11" s="1" t="s">
        <v>2744</v>
      </c>
      <c r="X11" s="1" t="s">
        <v>2744</v>
      </c>
      <c r="Y11" s="1" t="s">
        <v>2744</v>
      </c>
      <c r="Z11" s="1" t="s">
        <v>2744</v>
      </c>
      <c r="AA11" s="1" t="s">
        <v>2744</v>
      </c>
      <c r="AB11" s="1" t="s">
        <v>2744</v>
      </c>
      <c r="AC11" s="1" t="s">
        <v>2744</v>
      </c>
      <c r="AD11" s="1" t="s">
        <v>2744</v>
      </c>
      <c r="AE11" s="1" t="s">
        <v>2744</v>
      </c>
      <c r="AF11" s="1" t="s">
        <v>2744</v>
      </c>
      <c r="AG11" s="1" t="s">
        <v>2744</v>
      </c>
    </row>
    <row r="12" spans="2:33" x14ac:dyDescent="0.3">
      <c r="B12" s="18" t="s">
        <v>3306</v>
      </c>
      <c r="C12" s="25" t="s">
        <v>3897</v>
      </c>
      <c r="D12" s="15" t="s">
        <v>2</v>
      </c>
      <c r="E12" s="53" t="s">
        <v>2</v>
      </c>
      <c r="F12" s="20" t="s">
        <v>2</v>
      </c>
      <c r="G12" s="28"/>
      <c r="H12" s="60"/>
      <c r="I12" s="23"/>
      <c r="J12" s="4"/>
      <c r="K12" s="23"/>
      <c r="L12" s="4"/>
      <c r="M12" s="4"/>
      <c r="N12" s="4"/>
      <c r="O12" s="4"/>
      <c r="P12" s="4"/>
      <c r="Q12" s="4"/>
      <c r="R12" s="4"/>
      <c r="S12" s="4"/>
      <c r="T12" s="24"/>
      <c r="U12" s="4"/>
      <c r="V12" s="32" t="s">
        <v>2</v>
      </c>
      <c r="W12" s="33" t="s">
        <v>2</v>
      </c>
      <c r="X12" s="77" t="s">
        <v>2</v>
      </c>
      <c r="Y12" s="6"/>
      <c r="Z12" s="31" t="s">
        <v>2</v>
      </c>
      <c r="AA12" s="5" t="s">
        <v>2</v>
      </c>
      <c r="AB12" s="5" t="s">
        <v>2</v>
      </c>
      <c r="AC12" s="5" t="s">
        <v>2</v>
      </c>
      <c r="AD12" s="5" t="s">
        <v>2</v>
      </c>
      <c r="AE12" s="21" t="s">
        <v>2</v>
      </c>
      <c r="AF12" s="26" t="s">
        <v>2</v>
      </c>
      <c r="AG12" s="34" t="s">
        <v>2</v>
      </c>
    </row>
    <row r="13" spans="2:33" x14ac:dyDescent="0.3">
      <c r="B13" s="7" t="s">
        <v>2744</v>
      </c>
      <c r="C13" s="1" t="s">
        <v>2744</v>
      </c>
      <c r="D13" s="8" t="s">
        <v>2744</v>
      </c>
      <c r="E13" s="1" t="s">
        <v>2744</v>
      </c>
      <c r="F13" s="1" t="s">
        <v>2744</v>
      </c>
      <c r="G13" s="1" t="s">
        <v>2744</v>
      </c>
      <c r="H13" s="1" t="s">
        <v>2744</v>
      </c>
      <c r="I13" s="1" t="s">
        <v>2744</v>
      </c>
      <c r="J13" s="1" t="s">
        <v>2744</v>
      </c>
      <c r="K13" s="1" t="s">
        <v>2744</v>
      </c>
      <c r="L13" s="1" t="s">
        <v>2744</v>
      </c>
      <c r="M13" s="1" t="s">
        <v>2744</v>
      </c>
      <c r="N13" s="1" t="s">
        <v>2744</v>
      </c>
      <c r="O13" s="1" t="s">
        <v>2744</v>
      </c>
      <c r="P13" s="1" t="s">
        <v>2744</v>
      </c>
      <c r="Q13" s="1" t="s">
        <v>2744</v>
      </c>
      <c r="R13" s="1" t="s">
        <v>2744</v>
      </c>
      <c r="S13" s="1" t="s">
        <v>2744</v>
      </c>
      <c r="T13" s="1" t="s">
        <v>2744</v>
      </c>
      <c r="U13" s="1" t="s">
        <v>2744</v>
      </c>
      <c r="V13" s="1" t="s">
        <v>2744</v>
      </c>
      <c r="W13" s="1" t="s">
        <v>2744</v>
      </c>
      <c r="X13" s="1" t="s">
        <v>2744</v>
      </c>
      <c r="Y13" s="1" t="s">
        <v>2744</v>
      </c>
      <c r="Z13" s="1" t="s">
        <v>2744</v>
      </c>
      <c r="AA13" s="1" t="s">
        <v>2744</v>
      </c>
      <c r="AB13" s="1" t="s">
        <v>2744</v>
      </c>
      <c r="AC13" s="1" t="s">
        <v>2744</v>
      </c>
      <c r="AD13" s="1" t="s">
        <v>2744</v>
      </c>
      <c r="AE13" s="1" t="s">
        <v>2744</v>
      </c>
      <c r="AF13" s="1" t="s">
        <v>2744</v>
      </c>
      <c r="AG13" s="1" t="s">
        <v>2744</v>
      </c>
    </row>
    <row r="14" spans="2:33" ht="56" x14ac:dyDescent="0.3">
      <c r="B14" s="19" t="s">
        <v>4451</v>
      </c>
      <c r="C14" s="17" t="s">
        <v>2471</v>
      </c>
      <c r="D14" s="16"/>
      <c r="E14" s="2"/>
      <c r="F14" s="2"/>
      <c r="G14" s="2"/>
      <c r="H14" s="2"/>
      <c r="I14" s="2"/>
      <c r="J14" s="3">
        <f>SUM(GMIC_22A_SCDPT2SN1!SCDPT2SN1_402BEGINNG_8:GMIC_22A_SCDPT2SN1!SCDPT2SN1_402ENDINGG_8)</f>
        <v>0</v>
      </c>
      <c r="K14" s="2"/>
      <c r="L14" s="3">
        <f>SUM(GMIC_22A_SCDPT2SN1!SCDPT2SN1_402BEGINNG_10:GMIC_22A_SCDPT2SN1!SCDPT2SN1_402ENDINGG_10)</f>
        <v>0</v>
      </c>
      <c r="M14" s="3">
        <f>SUM(GMIC_22A_SCDPT2SN1!SCDPT2SN1_402BEGINNG_11:GMIC_22A_SCDPT2SN1!SCDPT2SN1_402ENDINGG_11)</f>
        <v>0</v>
      </c>
      <c r="N14" s="3">
        <f>SUM(GMIC_22A_SCDPT2SN1!SCDPT2SN1_402BEGINNG_12:GMIC_22A_SCDPT2SN1!SCDPT2SN1_402ENDINGG_12)</f>
        <v>0</v>
      </c>
      <c r="O14" s="3">
        <f>SUM(GMIC_22A_SCDPT2SN1!SCDPT2SN1_402BEGINNG_13:GMIC_22A_SCDPT2SN1!SCDPT2SN1_402ENDINGG_13)</f>
        <v>0</v>
      </c>
      <c r="P14" s="3">
        <f>SUM(GMIC_22A_SCDPT2SN1!SCDPT2SN1_402BEGINNG_14:GMIC_22A_SCDPT2SN1!SCDPT2SN1_402ENDINGG_14)</f>
        <v>0</v>
      </c>
      <c r="Q14" s="3">
        <f>SUM(GMIC_22A_SCDPT2SN1!SCDPT2SN1_402BEGINNG_15:GMIC_22A_SCDPT2SN1!SCDPT2SN1_402ENDINGG_15)</f>
        <v>0</v>
      </c>
      <c r="R14" s="3">
        <f>SUM(GMIC_22A_SCDPT2SN1!SCDPT2SN1_402BEGINNG_16:GMIC_22A_SCDPT2SN1!SCDPT2SN1_402ENDINGG_16)</f>
        <v>0</v>
      </c>
      <c r="S14" s="3">
        <f>SUM(GMIC_22A_SCDPT2SN1!SCDPT2SN1_402BEGINNG_17:GMIC_22A_SCDPT2SN1!SCDPT2SN1_402ENDINGG_17)</f>
        <v>0</v>
      </c>
      <c r="T14" s="3">
        <f>SUM(GMIC_22A_SCDPT2SN1!SCDPT2SN1_402BEGINNG_18:GMIC_22A_SCDPT2SN1!SCDPT2SN1_402ENDINGG_18)</f>
        <v>0</v>
      </c>
      <c r="U14" s="3">
        <f>SUM(GMIC_22A_SCDPT2SN1!SCDPT2SN1_402BEGINNG_19:GMIC_22A_SCDPT2SN1!SCDPT2SN1_402ENDINGG_19)</f>
        <v>0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2:33" ht="42" x14ac:dyDescent="0.3">
      <c r="B15" s="19" t="s">
        <v>1840</v>
      </c>
      <c r="C15" s="17" t="s">
        <v>1340</v>
      </c>
      <c r="D15" s="16"/>
      <c r="E15" s="2"/>
      <c r="F15" s="2"/>
      <c r="G15" s="2"/>
      <c r="H15" s="2"/>
      <c r="I15" s="2"/>
      <c r="J15" s="3">
        <f>GMIC_22A_SCDPT2SN1!SCDPT2SN1_4019999999_8+GMIC_22A_SCDPT2SN1!SCDPT2SN1_4029999999_8</f>
        <v>0</v>
      </c>
      <c r="K15" s="2"/>
      <c r="L15" s="3">
        <f>GMIC_22A_SCDPT2SN1!SCDPT2SN1_4019999999_10+GMIC_22A_SCDPT2SN1!SCDPT2SN1_4029999999_10</f>
        <v>0</v>
      </c>
      <c r="M15" s="3">
        <f>GMIC_22A_SCDPT2SN1!SCDPT2SN1_4019999999_11+GMIC_22A_SCDPT2SN1!SCDPT2SN1_4029999999_11</f>
        <v>0</v>
      </c>
      <c r="N15" s="3">
        <f>GMIC_22A_SCDPT2SN1!SCDPT2SN1_4019999999_12+GMIC_22A_SCDPT2SN1!SCDPT2SN1_4029999999_12</f>
        <v>0</v>
      </c>
      <c r="O15" s="3">
        <f>GMIC_22A_SCDPT2SN1!SCDPT2SN1_4019999999_13+GMIC_22A_SCDPT2SN1!SCDPT2SN1_4029999999_13</f>
        <v>0</v>
      </c>
      <c r="P15" s="3">
        <f>GMIC_22A_SCDPT2SN1!SCDPT2SN1_4019999999_14+GMIC_22A_SCDPT2SN1!SCDPT2SN1_4029999999_14</f>
        <v>0</v>
      </c>
      <c r="Q15" s="3">
        <f>GMIC_22A_SCDPT2SN1!SCDPT2SN1_4019999999_15+GMIC_22A_SCDPT2SN1!SCDPT2SN1_4029999999_15</f>
        <v>0</v>
      </c>
      <c r="R15" s="3">
        <f>GMIC_22A_SCDPT2SN1!SCDPT2SN1_4019999999_16+GMIC_22A_SCDPT2SN1!SCDPT2SN1_4029999999_16</f>
        <v>0</v>
      </c>
      <c r="S15" s="3">
        <f>GMIC_22A_SCDPT2SN1!SCDPT2SN1_4019999999_17+GMIC_22A_SCDPT2SN1!SCDPT2SN1_4029999999_17</f>
        <v>0</v>
      </c>
      <c r="T15" s="3">
        <f>GMIC_22A_SCDPT2SN1!SCDPT2SN1_4019999999_18+GMIC_22A_SCDPT2SN1!SCDPT2SN1_4029999999_18</f>
        <v>0</v>
      </c>
      <c r="U15" s="3">
        <f>GMIC_22A_SCDPT2SN1!SCDPT2SN1_4019999999_19+GMIC_22A_SCDPT2SN1!SCDPT2SN1_4029999999_19</f>
        <v>0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2:33" x14ac:dyDescent="0.3">
      <c r="B16" s="7" t="s">
        <v>2744</v>
      </c>
      <c r="C16" s="1" t="s">
        <v>2744</v>
      </c>
      <c r="D16" s="8" t="s">
        <v>2744</v>
      </c>
      <c r="E16" s="1" t="s">
        <v>2744</v>
      </c>
      <c r="F16" s="1" t="s">
        <v>2744</v>
      </c>
      <c r="G16" s="1" t="s">
        <v>2744</v>
      </c>
      <c r="H16" s="1" t="s">
        <v>2744</v>
      </c>
      <c r="I16" s="1" t="s">
        <v>2744</v>
      </c>
      <c r="J16" s="1" t="s">
        <v>2744</v>
      </c>
      <c r="K16" s="1" t="s">
        <v>2744</v>
      </c>
      <c r="L16" s="1" t="s">
        <v>2744</v>
      </c>
      <c r="M16" s="1" t="s">
        <v>2744</v>
      </c>
      <c r="N16" s="1" t="s">
        <v>2744</v>
      </c>
      <c r="O16" s="1" t="s">
        <v>2744</v>
      </c>
      <c r="P16" s="1" t="s">
        <v>2744</v>
      </c>
      <c r="Q16" s="1" t="s">
        <v>2744</v>
      </c>
      <c r="R16" s="1" t="s">
        <v>2744</v>
      </c>
      <c r="S16" s="1" t="s">
        <v>2744</v>
      </c>
      <c r="T16" s="1" t="s">
        <v>2744</v>
      </c>
      <c r="U16" s="1" t="s">
        <v>2744</v>
      </c>
      <c r="V16" s="1" t="s">
        <v>2744</v>
      </c>
      <c r="W16" s="1" t="s">
        <v>2744</v>
      </c>
      <c r="X16" s="1" t="s">
        <v>2744</v>
      </c>
      <c r="Y16" s="1" t="s">
        <v>2744</v>
      </c>
      <c r="Z16" s="1" t="s">
        <v>2744</v>
      </c>
      <c r="AA16" s="1" t="s">
        <v>2744</v>
      </c>
      <c r="AB16" s="1" t="s">
        <v>2744</v>
      </c>
      <c r="AC16" s="1" t="s">
        <v>2744</v>
      </c>
      <c r="AD16" s="1" t="s">
        <v>2744</v>
      </c>
      <c r="AE16" s="1" t="s">
        <v>2744</v>
      </c>
      <c r="AF16" s="1" t="s">
        <v>2744</v>
      </c>
      <c r="AG16" s="1" t="s">
        <v>2744</v>
      </c>
    </row>
    <row r="17" spans="2:33" x14ac:dyDescent="0.3">
      <c r="B17" s="18" t="s">
        <v>450</v>
      </c>
      <c r="C17" s="25" t="s">
        <v>3897</v>
      </c>
      <c r="D17" s="15" t="s">
        <v>2</v>
      </c>
      <c r="E17" s="53" t="s">
        <v>2</v>
      </c>
      <c r="F17" s="20" t="s">
        <v>2</v>
      </c>
      <c r="G17" s="28"/>
      <c r="H17" s="60"/>
      <c r="I17" s="23"/>
      <c r="J17" s="4"/>
      <c r="K17" s="23"/>
      <c r="L17" s="4"/>
      <c r="M17" s="4"/>
      <c r="N17" s="4"/>
      <c r="O17" s="4"/>
      <c r="P17" s="4"/>
      <c r="Q17" s="4"/>
      <c r="R17" s="4"/>
      <c r="S17" s="4"/>
      <c r="T17" s="24"/>
      <c r="U17" s="4"/>
      <c r="V17" s="32" t="s">
        <v>2</v>
      </c>
      <c r="W17" s="33" t="s">
        <v>2</v>
      </c>
      <c r="X17" s="77" t="s">
        <v>2</v>
      </c>
      <c r="Y17" s="6"/>
      <c r="Z17" s="31" t="s">
        <v>2</v>
      </c>
      <c r="AA17" s="5" t="s">
        <v>2</v>
      </c>
      <c r="AB17" s="5" t="s">
        <v>2</v>
      </c>
      <c r="AC17" s="5" t="s">
        <v>2</v>
      </c>
      <c r="AD17" s="5" t="s">
        <v>2</v>
      </c>
      <c r="AE17" s="21" t="s">
        <v>2</v>
      </c>
      <c r="AF17" s="26" t="s">
        <v>2</v>
      </c>
      <c r="AG17" s="34" t="s">
        <v>2</v>
      </c>
    </row>
    <row r="18" spans="2:33" x14ac:dyDescent="0.3">
      <c r="B18" s="7" t="s">
        <v>2744</v>
      </c>
      <c r="C18" s="1" t="s">
        <v>2744</v>
      </c>
      <c r="D18" s="8" t="s">
        <v>2744</v>
      </c>
      <c r="E18" s="1" t="s">
        <v>2744</v>
      </c>
      <c r="F18" s="1" t="s">
        <v>2744</v>
      </c>
      <c r="G18" s="1" t="s">
        <v>2744</v>
      </c>
      <c r="H18" s="1" t="s">
        <v>2744</v>
      </c>
      <c r="I18" s="1" t="s">
        <v>2744</v>
      </c>
      <c r="J18" s="1" t="s">
        <v>2744</v>
      </c>
      <c r="K18" s="1" t="s">
        <v>2744</v>
      </c>
      <c r="L18" s="1" t="s">
        <v>2744</v>
      </c>
      <c r="M18" s="1" t="s">
        <v>2744</v>
      </c>
      <c r="N18" s="1" t="s">
        <v>2744</v>
      </c>
      <c r="O18" s="1" t="s">
        <v>2744</v>
      </c>
      <c r="P18" s="1" t="s">
        <v>2744</v>
      </c>
      <c r="Q18" s="1" t="s">
        <v>2744</v>
      </c>
      <c r="R18" s="1" t="s">
        <v>2744</v>
      </c>
      <c r="S18" s="1" t="s">
        <v>2744</v>
      </c>
      <c r="T18" s="1" t="s">
        <v>2744</v>
      </c>
      <c r="U18" s="1" t="s">
        <v>2744</v>
      </c>
      <c r="V18" s="1" t="s">
        <v>2744</v>
      </c>
      <c r="W18" s="1" t="s">
        <v>2744</v>
      </c>
      <c r="X18" s="1" t="s">
        <v>2744</v>
      </c>
      <c r="Y18" s="1" t="s">
        <v>2744</v>
      </c>
      <c r="Z18" s="1" t="s">
        <v>2744</v>
      </c>
      <c r="AA18" s="1" t="s">
        <v>2744</v>
      </c>
      <c r="AB18" s="1" t="s">
        <v>2744</v>
      </c>
      <c r="AC18" s="1" t="s">
        <v>2744</v>
      </c>
      <c r="AD18" s="1" t="s">
        <v>2744</v>
      </c>
      <c r="AE18" s="1" t="s">
        <v>2744</v>
      </c>
      <c r="AF18" s="1" t="s">
        <v>2744</v>
      </c>
      <c r="AG18" s="1" t="s">
        <v>2744</v>
      </c>
    </row>
    <row r="19" spans="2:33" ht="42" x14ac:dyDescent="0.3">
      <c r="B19" s="19" t="s">
        <v>1572</v>
      </c>
      <c r="C19" s="17" t="s">
        <v>1341</v>
      </c>
      <c r="D19" s="16"/>
      <c r="E19" s="2"/>
      <c r="F19" s="2"/>
      <c r="G19" s="2"/>
      <c r="H19" s="2"/>
      <c r="I19" s="2"/>
      <c r="J19" s="3">
        <f>SUM(GMIC_22A_SCDPT2SN1!SCDPT2SN1_431BEGINNG_8:GMIC_22A_SCDPT2SN1!SCDPT2SN1_431ENDINGG_8)</f>
        <v>0</v>
      </c>
      <c r="K19" s="2"/>
      <c r="L19" s="3">
        <f>SUM(GMIC_22A_SCDPT2SN1!SCDPT2SN1_431BEGINNG_10:GMIC_22A_SCDPT2SN1!SCDPT2SN1_431ENDINGG_10)</f>
        <v>0</v>
      </c>
      <c r="M19" s="3">
        <f>SUM(GMIC_22A_SCDPT2SN1!SCDPT2SN1_431BEGINNG_11:GMIC_22A_SCDPT2SN1!SCDPT2SN1_431ENDINGG_11)</f>
        <v>0</v>
      </c>
      <c r="N19" s="3">
        <f>SUM(GMIC_22A_SCDPT2SN1!SCDPT2SN1_431BEGINNG_12:GMIC_22A_SCDPT2SN1!SCDPT2SN1_431ENDINGG_12)</f>
        <v>0</v>
      </c>
      <c r="O19" s="3">
        <f>SUM(GMIC_22A_SCDPT2SN1!SCDPT2SN1_431BEGINNG_13:GMIC_22A_SCDPT2SN1!SCDPT2SN1_431ENDINGG_13)</f>
        <v>0</v>
      </c>
      <c r="P19" s="3">
        <f>SUM(GMIC_22A_SCDPT2SN1!SCDPT2SN1_431BEGINNG_14:GMIC_22A_SCDPT2SN1!SCDPT2SN1_431ENDINGG_14)</f>
        <v>0</v>
      </c>
      <c r="Q19" s="3">
        <f>SUM(GMIC_22A_SCDPT2SN1!SCDPT2SN1_431BEGINNG_15:GMIC_22A_SCDPT2SN1!SCDPT2SN1_431ENDINGG_15)</f>
        <v>0</v>
      </c>
      <c r="R19" s="3">
        <f>SUM(GMIC_22A_SCDPT2SN1!SCDPT2SN1_431BEGINNG_16:GMIC_22A_SCDPT2SN1!SCDPT2SN1_431ENDINGG_16)</f>
        <v>0</v>
      </c>
      <c r="S19" s="3">
        <f>SUM(GMIC_22A_SCDPT2SN1!SCDPT2SN1_431BEGINNG_17:GMIC_22A_SCDPT2SN1!SCDPT2SN1_431ENDINGG_17)</f>
        <v>0</v>
      </c>
      <c r="T19" s="3">
        <f>SUM(GMIC_22A_SCDPT2SN1!SCDPT2SN1_431BEGINNG_18:GMIC_22A_SCDPT2SN1!SCDPT2SN1_431ENDINGG_18)</f>
        <v>0</v>
      </c>
      <c r="U19" s="3">
        <f>SUM(GMIC_22A_SCDPT2SN1!SCDPT2SN1_431BEGINNG_19:GMIC_22A_SCDPT2SN1!SCDPT2SN1_431ENDINGG_19)</f>
        <v>0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3">
      <c r="B20" s="7" t="s">
        <v>2744</v>
      </c>
      <c r="C20" s="1" t="s">
        <v>2744</v>
      </c>
      <c r="D20" s="8" t="s">
        <v>2744</v>
      </c>
      <c r="E20" s="1" t="s">
        <v>2744</v>
      </c>
      <c r="F20" s="1" t="s">
        <v>2744</v>
      </c>
      <c r="G20" s="1" t="s">
        <v>2744</v>
      </c>
      <c r="H20" s="1" t="s">
        <v>2744</v>
      </c>
      <c r="I20" s="1" t="s">
        <v>2744</v>
      </c>
      <c r="J20" s="1" t="s">
        <v>2744</v>
      </c>
      <c r="K20" s="1" t="s">
        <v>2744</v>
      </c>
      <c r="L20" s="1" t="s">
        <v>2744</v>
      </c>
      <c r="M20" s="1" t="s">
        <v>2744</v>
      </c>
      <c r="N20" s="1" t="s">
        <v>2744</v>
      </c>
      <c r="O20" s="1" t="s">
        <v>2744</v>
      </c>
      <c r="P20" s="1" t="s">
        <v>2744</v>
      </c>
      <c r="Q20" s="1" t="s">
        <v>2744</v>
      </c>
      <c r="R20" s="1" t="s">
        <v>2744</v>
      </c>
      <c r="S20" s="1" t="s">
        <v>2744</v>
      </c>
      <c r="T20" s="1" t="s">
        <v>2744</v>
      </c>
      <c r="U20" s="1" t="s">
        <v>2744</v>
      </c>
      <c r="V20" s="1" t="s">
        <v>2744</v>
      </c>
      <c r="W20" s="1" t="s">
        <v>2744</v>
      </c>
      <c r="X20" s="1" t="s">
        <v>2744</v>
      </c>
      <c r="Y20" s="1" t="s">
        <v>2744</v>
      </c>
      <c r="Z20" s="1" t="s">
        <v>2744</v>
      </c>
      <c r="AA20" s="1" t="s">
        <v>2744</v>
      </c>
      <c r="AB20" s="1" t="s">
        <v>2744</v>
      </c>
      <c r="AC20" s="1" t="s">
        <v>2744</v>
      </c>
      <c r="AD20" s="1" t="s">
        <v>2744</v>
      </c>
      <c r="AE20" s="1" t="s">
        <v>2744</v>
      </c>
      <c r="AF20" s="1" t="s">
        <v>2744</v>
      </c>
      <c r="AG20" s="1" t="s">
        <v>2744</v>
      </c>
    </row>
    <row r="21" spans="2:33" x14ac:dyDescent="0.3">
      <c r="B21" s="18" t="s">
        <v>4116</v>
      </c>
      <c r="C21" s="25" t="s">
        <v>3897</v>
      </c>
      <c r="D21" s="15" t="s">
        <v>2</v>
      </c>
      <c r="E21" s="53" t="s">
        <v>2</v>
      </c>
      <c r="F21" s="20" t="s">
        <v>2</v>
      </c>
      <c r="G21" s="28"/>
      <c r="H21" s="60"/>
      <c r="I21" s="23"/>
      <c r="J21" s="4"/>
      <c r="K21" s="23"/>
      <c r="L21" s="4"/>
      <c r="M21" s="4"/>
      <c r="N21" s="4"/>
      <c r="O21" s="4"/>
      <c r="P21" s="4"/>
      <c r="Q21" s="4"/>
      <c r="R21" s="4"/>
      <c r="S21" s="4"/>
      <c r="T21" s="24"/>
      <c r="U21" s="4"/>
      <c r="V21" s="32" t="s">
        <v>2</v>
      </c>
      <c r="W21" s="33" t="s">
        <v>2</v>
      </c>
      <c r="X21" s="77" t="s">
        <v>2</v>
      </c>
      <c r="Y21" s="6"/>
      <c r="Z21" s="31" t="s">
        <v>2</v>
      </c>
      <c r="AA21" s="5" t="s">
        <v>2</v>
      </c>
      <c r="AB21" s="5" t="s">
        <v>2</v>
      </c>
      <c r="AC21" s="5" t="s">
        <v>2</v>
      </c>
      <c r="AD21" s="5" t="s">
        <v>2</v>
      </c>
      <c r="AE21" s="21" t="s">
        <v>2</v>
      </c>
      <c r="AF21" s="26" t="s">
        <v>2</v>
      </c>
      <c r="AG21" s="34" t="s">
        <v>2</v>
      </c>
    </row>
    <row r="22" spans="2:33" x14ac:dyDescent="0.3">
      <c r="B22" s="7" t="s">
        <v>2744</v>
      </c>
      <c r="C22" s="1" t="s">
        <v>2744</v>
      </c>
      <c r="D22" s="8" t="s">
        <v>2744</v>
      </c>
      <c r="E22" s="1" t="s">
        <v>2744</v>
      </c>
      <c r="F22" s="1" t="s">
        <v>2744</v>
      </c>
      <c r="G22" s="1" t="s">
        <v>2744</v>
      </c>
      <c r="H22" s="1" t="s">
        <v>2744</v>
      </c>
      <c r="I22" s="1" t="s">
        <v>2744</v>
      </c>
      <c r="J22" s="1" t="s">
        <v>2744</v>
      </c>
      <c r="K22" s="1" t="s">
        <v>2744</v>
      </c>
      <c r="L22" s="1" t="s">
        <v>2744</v>
      </c>
      <c r="M22" s="1" t="s">
        <v>2744</v>
      </c>
      <c r="N22" s="1" t="s">
        <v>2744</v>
      </c>
      <c r="O22" s="1" t="s">
        <v>2744</v>
      </c>
      <c r="P22" s="1" t="s">
        <v>2744</v>
      </c>
      <c r="Q22" s="1" t="s">
        <v>2744</v>
      </c>
      <c r="R22" s="1" t="s">
        <v>2744</v>
      </c>
      <c r="S22" s="1" t="s">
        <v>2744</v>
      </c>
      <c r="T22" s="1" t="s">
        <v>2744</v>
      </c>
      <c r="U22" s="1" t="s">
        <v>2744</v>
      </c>
      <c r="V22" s="1" t="s">
        <v>2744</v>
      </c>
      <c r="W22" s="1" t="s">
        <v>2744</v>
      </c>
      <c r="X22" s="1" t="s">
        <v>2744</v>
      </c>
      <c r="Y22" s="1" t="s">
        <v>2744</v>
      </c>
      <c r="Z22" s="1" t="s">
        <v>2744</v>
      </c>
      <c r="AA22" s="1" t="s">
        <v>2744</v>
      </c>
      <c r="AB22" s="1" t="s">
        <v>2744</v>
      </c>
      <c r="AC22" s="1" t="s">
        <v>2744</v>
      </c>
      <c r="AD22" s="1" t="s">
        <v>2744</v>
      </c>
      <c r="AE22" s="1" t="s">
        <v>2744</v>
      </c>
      <c r="AF22" s="1" t="s">
        <v>2744</v>
      </c>
      <c r="AG22" s="1" t="s">
        <v>2744</v>
      </c>
    </row>
    <row r="23" spans="2:33" ht="56" x14ac:dyDescent="0.3">
      <c r="B23" s="19" t="s">
        <v>701</v>
      </c>
      <c r="C23" s="17" t="s">
        <v>1052</v>
      </c>
      <c r="D23" s="16"/>
      <c r="E23" s="2"/>
      <c r="F23" s="2"/>
      <c r="G23" s="2"/>
      <c r="H23" s="2"/>
      <c r="I23" s="2"/>
      <c r="J23" s="3">
        <f>SUM(GMIC_22A_SCDPT2SN1!SCDPT2SN1_432BEGINNG_8:GMIC_22A_SCDPT2SN1!SCDPT2SN1_432ENDINGG_8)</f>
        <v>0</v>
      </c>
      <c r="K23" s="2"/>
      <c r="L23" s="3">
        <f>SUM(GMIC_22A_SCDPT2SN1!SCDPT2SN1_432BEGINNG_10:GMIC_22A_SCDPT2SN1!SCDPT2SN1_432ENDINGG_10)</f>
        <v>0</v>
      </c>
      <c r="M23" s="3">
        <f>SUM(GMIC_22A_SCDPT2SN1!SCDPT2SN1_432BEGINNG_11:GMIC_22A_SCDPT2SN1!SCDPT2SN1_432ENDINGG_11)</f>
        <v>0</v>
      </c>
      <c r="N23" s="3">
        <f>SUM(GMIC_22A_SCDPT2SN1!SCDPT2SN1_432BEGINNG_12:GMIC_22A_SCDPT2SN1!SCDPT2SN1_432ENDINGG_12)</f>
        <v>0</v>
      </c>
      <c r="O23" s="3">
        <f>SUM(GMIC_22A_SCDPT2SN1!SCDPT2SN1_432BEGINNG_13:GMIC_22A_SCDPT2SN1!SCDPT2SN1_432ENDINGG_13)</f>
        <v>0</v>
      </c>
      <c r="P23" s="3">
        <f>SUM(GMIC_22A_SCDPT2SN1!SCDPT2SN1_432BEGINNG_14:GMIC_22A_SCDPT2SN1!SCDPT2SN1_432ENDINGG_14)</f>
        <v>0</v>
      </c>
      <c r="Q23" s="3">
        <f>SUM(GMIC_22A_SCDPT2SN1!SCDPT2SN1_432BEGINNG_15:GMIC_22A_SCDPT2SN1!SCDPT2SN1_432ENDINGG_15)</f>
        <v>0</v>
      </c>
      <c r="R23" s="3">
        <f>SUM(GMIC_22A_SCDPT2SN1!SCDPT2SN1_432BEGINNG_16:GMIC_22A_SCDPT2SN1!SCDPT2SN1_432ENDINGG_16)</f>
        <v>0</v>
      </c>
      <c r="S23" s="3">
        <f>SUM(GMIC_22A_SCDPT2SN1!SCDPT2SN1_432BEGINNG_17:GMIC_22A_SCDPT2SN1!SCDPT2SN1_432ENDINGG_17)</f>
        <v>0</v>
      </c>
      <c r="T23" s="3">
        <f>SUM(GMIC_22A_SCDPT2SN1!SCDPT2SN1_432BEGINNG_18:GMIC_22A_SCDPT2SN1!SCDPT2SN1_432ENDINGG_18)</f>
        <v>0</v>
      </c>
      <c r="U23" s="3">
        <f>SUM(GMIC_22A_SCDPT2SN1!SCDPT2SN1_432BEGINNG_19:GMIC_22A_SCDPT2SN1!SCDPT2SN1_432ENDINGG_19)</f>
        <v>0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2:33" ht="42" x14ac:dyDescent="0.3">
      <c r="B24" s="19" t="s">
        <v>2689</v>
      </c>
      <c r="C24" s="17" t="s">
        <v>3307</v>
      </c>
      <c r="D24" s="16"/>
      <c r="E24" s="2"/>
      <c r="F24" s="2"/>
      <c r="G24" s="2"/>
      <c r="H24" s="2"/>
      <c r="I24" s="2"/>
      <c r="J24" s="3">
        <f>GMIC_22A_SCDPT2SN1!SCDPT2SN1_4319999999_8+GMIC_22A_SCDPT2SN1!SCDPT2SN1_4329999999_8</f>
        <v>0</v>
      </c>
      <c r="K24" s="2"/>
      <c r="L24" s="3">
        <f>GMIC_22A_SCDPT2SN1!SCDPT2SN1_4319999999_10+GMIC_22A_SCDPT2SN1!SCDPT2SN1_4329999999_10</f>
        <v>0</v>
      </c>
      <c r="M24" s="3">
        <f>GMIC_22A_SCDPT2SN1!SCDPT2SN1_4319999999_11+GMIC_22A_SCDPT2SN1!SCDPT2SN1_4329999999_11</f>
        <v>0</v>
      </c>
      <c r="N24" s="3">
        <f>GMIC_22A_SCDPT2SN1!SCDPT2SN1_4319999999_12+GMIC_22A_SCDPT2SN1!SCDPT2SN1_4329999999_12</f>
        <v>0</v>
      </c>
      <c r="O24" s="3">
        <f>GMIC_22A_SCDPT2SN1!SCDPT2SN1_4319999999_13+GMIC_22A_SCDPT2SN1!SCDPT2SN1_4329999999_13</f>
        <v>0</v>
      </c>
      <c r="P24" s="3">
        <f>GMIC_22A_SCDPT2SN1!SCDPT2SN1_4319999999_14+GMIC_22A_SCDPT2SN1!SCDPT2SN1_4329999999_14</f>
        <v>0</v>
      </c>
      <c r="Q24" s="3">
        <f>GMIC_22A_SCDPT2SN1!SCDPT2SN1_4319999999_15+GMIC_22A_SCDPT2SN1!SCDPT2SN1_4329999999_15</f>
        <v>0</v>
      </c>
      <c r="R24" s="3">
        <f>GMIC_22A_SCDPT2SN1!SCDPT2SN1_4319999999_16+GMIC_22A_SCDPT2SN1!SCDPT2SN1_4329999999_16</f>
        <v>0</v>
      </c>
      <c r="S24" s="3">
        <f>GMIC_22A_SCDPT2SN1!SCDPT2SN1_4319999999_17+GMIC_22A_SCDPT2SN1!SCDPT2SN1_4329999999_17</f>
        <v>0</v>
      </c>
      <c r="T24" s="3">
        <f>GMIC_22A_SCDPT2SN1!SCDPT2SN1_4319999999_18+GMIC_22A_SCDPT2SN1!SCDPT2SN1_4329999999_18</f>
        <v>0</v>
      </c>
      <c r="U24" s="3">
        <f>GMIC_22A_SCDPT2SN1!SCDPT2SN1_4319999999_19+GMIC_22A_SCDPT2SN1!SCDPT2SN1_4329999999_19</f>
        <v>0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2:33" x14ac:dyDescent="0.3">
      <c r="B25" s="61" t="s">
        <v>2970</v>
      </c>
      <c r="C25" s="56" t="s">
        <v>3843</v>
      </c>
      <c r="D25" s="65"/>
      <c r="E25" s="27"/>
      <c r="F25" s="27"/>
      <c r="G25" s="27"/>
      <c r="H25" s="27"/>
      <c r="I25" s="27"/>
      <c r="J25" s="30">
        <f>GMIC_22A_SCDPT2SN1!SCDPT2SN1_4019999999_8+GMIC_22A_SCDPT2SN1!SCDPT2SN1_4029999999_8+GMIC_22A_SCDPT2SN1!SCDPT2SN1_4319999999_8+GMIC_22A_SCDPT2SN1!SCDPT2SN1_4329999999_8</f>
        <v>0</v>
      </c>
      <c r="K25" s="27"/>
      <c r="L25" s="30">
        <f>GMIC_22A_SCDPT2SN1!SCDPT2SN1_4019999999_10+GMIC_22A_SCDPT2SN1!SCDPT2SN1_4029999999_10+GMIC_22A_SCDPT2SN1!SCDPT2SN1_4319999999_10+GMIC_22A_SCDPT2SN1!SCDPT2SN1_4329999999_10</f>
        <v>0</v>
      </c>
      <c r="M25" s="30">
        <f>GMIC_22A_SCDPT2SN1!SCDPT2SN1_4019999999_11+GMIC_22A_SCDPT2SN1!SCDPT2SN1_4029999999_11+GMIC_22A_SCDPT2SN1!SCDPT2SN1_4319999999_11+GMIC_22A_SCDPT2SN1!SCDPT2SN1_4329999999_11</f>
        <v>0</v>
      </c>
      <c r="N25" s="30">
        <f>GMIC_22A_SCDPT2SN1!SCDPT2SN1_4019999999_12+GMIC_22A_SCDPT2SN1!SCDPT2SN1_4029999999_12+GMIC_22A_SCDPT2SN1!SCDPT2SN1_4319999999_12+GMIC_22A_SCDPT2SN1!SCDPT2SN1_4329999999_12</f>
        <v>0</v>
      </c>
      <c r="O25" s="30">
        <f>GMIC_22A_SCDPT2SN1!SCDPT2SN1_4019999999_13+GMIC_22A_SCDPT2SN1!SCDPT2SN1_4029999999_13+GMIC_22A_SCDPT2SN1!SCDPT2SN1_4319999999_13+GMIC_22A_SCDPT2SN1!SCDPT2SN1_4329999999_13</f>
        <v>0</v>
      </c>
      <c r="P25" s="30">
        <f>GMIC_22A_SCDPT2SN1!SCDPT2SN1_4019999999_14+GMIC_22A_SCDPT2SN1!SCDPT2SN1_4029999999_14+GMIC_22A_SCDPT2SN1!SCDPT2SN1_4319999999_14+GMIC_22A_SCDPT2SN1!SCDPT2SN1_4329999999_14</f>
        <v>0</v>
      </c>
      <c r="Q25" s="30">
        <f>GMIC_22A_SCDPT2SN1!SCDPT2SN1_4019999999_15+GMIC_22A_SCDPT2SN1!SCDPT2SN1_4029999999_15+GMIC_22A_SCDPT2SN1!SCDPT2SN1_4319999999_15+GMIC_22A_SCDPT2SN1!SCDPT2SN1_4329999999_15</f>
        <v>0</v>
      </c>
      <c r="R25" s="30">
        <f>GMIC_22A_SCDPT2SN1!SCDPT2SN1_4019999999_16+GMIC_22A_SCDPT2SN1!SCDPT2SN1_4029999999_16+GMIC_22A_SCDPT2SN1!SCDPT2SN1_4319999999_16+GMIC_22A_SCDPT2SN1!SCDPT2SN1_4329999999_16</f>
        <v>0</v>
      </c>
      <c r="S25" s="30">
        <f>GMIC_22A_SCDPT2SN1!SCDPT2SN1_4019999999_17+GMIC_22A_SCDPT2SN1!SCDPT2SN1_4029999999_17+GMIC_22A_SCDPT2SN1!SCDPT2SN1_4319999999_17+GMIC_22A_SCDPT2SN1!SCDPT2SN1_4329999999_17</f>
        <v>0</v>
      </c>
      <c r="T25" s="30">
        <f>GMIC_22A_SCDPT2SN1!SCDPT2SN1_4019999999_18+GMIC_22A_SCDPT2SN1!SCDPT2SN1_4029999999_18+GMIC_22A_SCDPT2SN1!SCDPT2SN1_4319999999_18+GMIC_22A_SCDPT2SN1!SCDPT2SN1_4329999999_18</f>
        <v>0</v>
      </c>
      <c r="U25" s="30">
        <f>GMIC_22A_SCDPT2SN1!SCDPT2SN1_4019999999_19+GMIC_22A_SCDPT2SN1!SCDPT2SN1_4029999999_19+GMIC_22A_SCDPT2SN1!SCDPT2SN1_4319999999_19+GMIC_22A_SCDPT2SN1!SCDPT2SN1_4329999999_19</f>
        <v>0</v>
      </c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&amp;CSCDPT2SN1SCDPT2SN1</oddHeader>
    <oddFooter>&amp;LWing Application : &amp;R SaveAs(3/3/2023-8:37 AM)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12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18.75" customWidth="1"/>
    <col min="4" max="10" width="14.75" customWidth="1"/>
  </cols>
  <sheetData>
    <row r="1" spans="2:10" x14ac:dyDescent="0.3">
      <c r="C1" s="35" t="s">
        <v>1614</v>
      </c>
      <c r="D1" s="35" t="s">
        <v>1158</v>
      </c>
      <c r="E1" s="35" t="s">
        <v>1615</v>
      </c>
      <c r="F1" s="35" t="s">
        <v>264</v>
      </c>
    </row>
    <row r="2" spans="2:10" ht="20" x14ac:dyDescent="0.3">
      <c r="B2" s="57"/>
      <c r="C2" s="44" t="str">
        <f>GMIC_22A_SCDPT1!Wings_Company_ID</f>
        <v>GMIC</v>
      </c>
      <c r="D2" s="44" t="str">
        <f>GMIC_22A_SCDPT1!Wings_Statement_ID</f>
        <v>22A</v>
      </c>
      <c r="E2" s="42" t="s">
        <v>195</v>
      </c>
      <c r="F2" s="42" t="s">
        <v>2472</v>
      </c>
    </row>
    <row r="3" spans="2:10" ht="40" customHeight="1" x14ac:dyDescent="0.3">
      <c r="B3" s="62" t="s">
        <v>265</v>
      </c>
      <c r="C3" s="11"/>
      <c r="D3" s="11"/>
      <c r="E3" s="11"/>
      <c r="F3" s="11"/>
      <c r="G3" s="11"/>
      <c r="H3" s="11"/>
      <c r="I3" s="11"/>
      <c r="J3" s="11"/>
    </row>
    <row r="4" spans="2:10" ht="40" customHeight="1" x14ac:dyDescent="0.4">
      <c r="B4" s="63" t="s">
        <v>2171</v>
      </c>
      <c r="C4" s="11"/>
      <c r="D4" s="11"/>
      <c r="E4" s="11"/>
      <c r="F4" s="11"/>
      <c r="G4" s="11"/>
      <c r="H4" s="11"/>
      <c r="I4" s="11"/>
      <c r="J4" s="11"/>
    </row>
    <row r="5" spans="2:10" x14ac:dyDescent="0.3">
      <c r="B5" s="59"/>
      <c r="C5" s="74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12">
        <v>6</v>
      </c>
      <c r="J5" s="12">
        <v>7</v>
      </c>
    </row>
    <row r="6" spans="2:10" ht="23.5" x14ac:dyDescent="0.3">
      <c r="B6" s="58"/>
      <c r="C6" s="79"/>
      <c r="D6" s="13" t="s">
        <v>3304</v>
      </c>
      <c r="E6" s="13" t="s">
        <v>3596</v>
      </c>
      <c r="F6" s="13" t="s">
        <v>3841</v>
      </c>
      <c r="G6" s="13" t="s">
        <v>4113</v>
      </c>
      <c r="H6" s="13" t="s">
        <v>4448</v>
      </c>
      <c r="I6" s="13" t="s">
        <v>193</v>
      </c>
      <c r="J6" s="13" t="s">
        <v>446</v>
      </c>
    </row>
    <row r="7" spans="2:10" x14ac:dyDescent="0.3">
      <c r="B7" s="76" t="s">
        <v>3305</v>
      </c>
      <c r="C7" s="78" t="s">
        <v>1339</v>
      </c>
      <c r="D7" s="80"/>
      <c r="E7" s="24"/>
      <c r="F7" s="24"/>
      <c r="G7" s="24"/>
      <c r="H7" s="24"/>
      <c r="I7" s="24"/>
      <c r="J7" s="24"/>
    </row>
    <row r="8" spans="2:10" x14ac:dyDescent="0.3">
      <c r="B8" s="76" t="s">
        <v>4449</v>
      </c>
      <c r="C8" s="78" t="s">
        <v>2470</v>
      </c>
      <c r="D8" s="80"/>
      <c r="E8" s="24"/>
      <c r="F8" s="24"/>
      <c r="G8" s="2"/>
      <c r="H8" s="2"/>
      <c r="I8" s="2"/>
      <c r="J8" s="2"/>
    </row>
    <row r="9" spans="2:10" x14ac:dyDescent="0.3">
      <c r="B9" s="76" t="s">
        <v>1050</v>
      </c>
      <c r="C9" s="78" t="s">
        <v>3842</v>
      </c>
      <c r="D9" s="80"/>
      <c r="E9" s="24"/>
      <c r="F9" s="24"/>
      <c r="G9" s="2"/>
      <c r="H9" s="2"/>
      <c r="I9" s="2"/>
      <c r="J9" s="2"/>
    </row>
    <row r="10" spans="2:10" x14ac:dyDescent="0.3">
      <c r="B10" s="76" t="s">
        <v>2170</v>
      </c>
      <c r="C10" s="78" t="s">
        <v>447</v>
      </c>
      <c r="D10" s="80"/>
      <c r="E10" s="24"/>
      <c r="F10" s="24"/>
      <c r="G10" s="2"/>
      <c r="H10" s="2"/>
      <c r="I10" s="2"/>
      <c r="J10" s="2"/>
    </row>
    <row r="11" spans="2:10" x14ac:dyDescent="0.3">
      <c r="B11" s="76" t="s">
        <v>3597</v>
      </c>
      <c r="C11" s="78" t="s">
        <v>1570</v>
      </c>
      <c r="D11" s="80"/>
      <c r="E11" s="24"/>
      <c r="F11" s="24"/>
      <c r="G11" s="2"/>
      <c r="H11" s="2"/>
      <c r="I11" s="2"/>
      <c r="J11" s="2"/>
    </row>
    <row r="12" spans="2:10" x14ac:dyDescent="0.3">
      <c r="B12" s="61" t="s">
        <v>194</v>
      </c>
      <c r="C12" s="56" t="s">
        <v>2688</v>
      </c>
      <c r="D12" s="82"/>
      <c r="E12" s="27"/>
      <c r="F12" s="27"/>
      <c r="G12" s="27"/>
      <c r="H12" s="27"/>
      <c r="I12" s="27"/>
      <c r="J12" s="27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&amp;CSCDPT2SN1FSCDPT2SN1F</oddHeader>
    <oddFooter>&amp;LWing Application : &amp;R SaveAs(3/3/2023-8:37 AM)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D57"/>
  <sheetViews>
    <sheetView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5" width="10.75" customWidth="1"/>
    <col min="6" max="6" width="42.75" customWidth="1"/>
    <col min="7" max="7" width="12.75" customWidth="1"/>
    <col min="8" max="8" width="14.75" customWidth="1"/>
    <col min="9" max="9" width="12.75" customWidth="1"/>
    <col min="10" max="18" width="14.75" customWidth="1"/>
    <col min="19" max="22" width="10.75" customWidth="1"/>
    <col min="23" max="23" width="38.75" customWidth="1"/>
    <col min="24" max="25" width="10.75" customWidth="1"/>
    <col min="26" max="26" width="25.75" customWidth="1"/>
    <col min="27" max="28" width="10.75" customWidth="1"/>
    <col min="29" max="29" width="25.75" customWidth="1"/>
    <col min="30" max="30" width="10.75" customWidth="1"/>
  </cols>
  <sheetData>
    <row r="1" spans="2:30" x14ac:dyDescent="0.3">
      <c r="C1" s="35" t="s">
        <v>1614</v>
      </c>
      <c r="D1" s="35" t="s">
        <v>1158</v>
      </c>
      <c r="E1" s="35" t="s">
        <v>1615</v>
      </c>
      <c r="F1" s="35" t="s">
        <v>264</v>
      </c>
    </row>
    <row r="2" spans="2:30" ht="20" x14ac:dyDescent="0.3">
      <c r="B2" s="57"/>
      <c r="C2" s="44" t="str">
        <f>GMIC_22A_SCDPT1!Wings_Company_ID</f>
        <v>GMIC</v>
      </c>
      <c r="D2" s="44" t="str">
        <f>GMIC_22A_SCDPT1!Wings_Statement_ID</f>
        <v>22A</v>
      </c>
      <c r="E2" s="42" t="s">
        <v>1342</v>
      </c>
      <c r="F2" s="42" t="s">
        <v>1573</v>
      </c>
    </row>
    <row r="3" spans="2:30" ht="40" customHeight="1" x14ac:dyDescent="0.3">
      <c r="B3" s="62" t="s">
        <v>265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2:30" ht="40" customHeight="1" x14ac:dyDescent="0.4">
      <c r="B4" s="63" t="s">
        <v>451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2:30" x14ac:dyDescent="0.3">
      <c r="B5" s="59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  <c r="O5" s="12">
        <v>13</v>
      </c>
      <c r="P5" s="12">
        <v>14</v>
      </c>
      <c r="Q5" s="12">
        <v>15</v>
      </c>
      <c r="R5" s="12">
        <v>16</v>
      </c>
      <c r="S5" s="12">
        <v>17</v>
      </c>
      <c r="T5" s="12">
        <v>18.010000000000002</v>
      </c>
      <c r="U5" s="12">
        <v>18.02</v>
      </c>
      <c r="V5" s="12">
        <v>18.03</v>
      </c>
      <c r="W5" s="12">
        <v>19</v>
      </c>
      <c r="X5" s="12">
        <v>20</v>
      </c>
      <c r="Y5" s="12">
        <v>21</v>
      </c>
      <c r="Z5" s="12">
        <v>22</v>
      </c>
      <c r="AA5" s="12">
        <v>23</v>
      </c>
      <c r="AB5" s="12">
        <v>24</v>
      </c>
      <c r="AC5" s="12">
        <v>25</v>
      </c>
      <c r="AD5" s="12">
        <v>26</v>
      </c>
    </row>
    <row r="6" spans="2:30" ht="92.5" x14ac:dyDescent="0.3">
      <c r="B6" s="58"/>
      <c r="C6" s="13" t="s">
        <v>3889</v>
      </c>
      <c r="D6" s="13" t="s">
        <v>1912</v>
      </c>
      <c r="E6" s="13" t="s">
        <v>1913</v>
      </c>
      <c r="F6" s="13" t="s">
        <v>3405</v>
      </c>
      <c r="G6" s="13" t="s">
        <v>3598</v>
      </c>
      <c r="H6" s="13" t="s">
        <v>780</v>
      </c>
      <c r="I6" s="13" t="s">
        <v>1051</v>
      </c>
      <c r="J6" s="13" t="s">
        <v>3890</v>
      </c>
      <c r="K6" s="13" t="s">
        <v>1401</v>
      </c>
      <c r="L6" s="13" t="s">
        <v>197</v>
      </c>
      <c r="M6" s="13" t="s">
        <v>449</v>
      </c>
      <c r="N6" s="13" t="s">
        <v>3599</v>
      </c>
      <c r="O6" s="13" t="s">
        <v>781</v>
      </c>
      <c r="P6" s="13" t="s">
        <v>2743</v>
      </c>
      <c r="Q6" s="13" t="s">
        <v>1343</v>
      </c>
      <c r="R6" s="13" t="s">
        <v>1</v>
      </c>
      <c r="S6" s="13" t="s">
        <v>2530</v>
      </c>
      <c r="T6" s="13" t="s">
        <v>2527</v>
      </c>
      <c r="U6" s="13" t="s">
        <v>2268</v>
      </c>
      <c r="V6" s="13" t="s">
        <v>501</v>
      </c>
      <c r="W6" s="13" t="s">
        <v>1620</v>
      </c>
      <c r="X6" s="13" t="s">
        <v>3891</v>
      </c>
      <c r="Y6" s="13" t="s">
        <v>3407</v>
      </c>
      <c r="Z6" s="13" t="s">
        <v>3050</v>
      </c>
      <c r="AA6" s="13" t="s">
        <v>504</v>
      </c>
      <c r="AB6" s="13" t="s">
        <v>2531</v>
      </c>
      <c r="AC6" s="13" t="s">
        <v>1159</v>
      </c>
      <c r="AD6" s="13" t="s">
        <v>2532</v>
      </c>
    </row>
    <row r="7" spans="2:30" x14ac:dyDescent="0.3">
      <c r="B7" s="7" t="s">
        <v>2744</v>
      </c>
      <c r="C7" s="1" t="s">
        <v>2744</v>
      </c>
      <c r="D7" s="8" t="s">
        <v>2744</v>
      </c>
      <c r="E7" s="1" t="s">
        <v>2744</v>
      </c>
      <c r="F7" s="1" t="s">
        <v>2744</v>
      </c>
      <c r="G7" s="1" t="s">
        <v>2744</v>
      </c>
      <c r="H7" s="1" t="s">
        <v>2744</v>
      </c>
      <c r="I7" s="1" t="s">
        <v>2744</v>
      </c>
      <c r="J7" s="1" t="s">
        <v>2744</v>
      </c>
      <c r="K7" s="1" t="s">
        <v>2744</v>
      </c>
      <c r="L7" s="1" t="s">
        <v>2744</v>
      </c>
      <c r="M7" s="1" t="s">
        <v>2744</v>
      </c>
      <c r="N7" s="1" t="s">
        <v>2744</v>
      </c>
      <c r="O7" s="1" t="s">
        <v>2744</v>
      </c>
      <c r="P7" s="1" t="s">
        <v>2744</v>
      </c>
      <c r="Q7" s="1" t="s">
        <v>2744</v>
      </c>
      <c r="R7" s="1" t="s">
        <v>2744</v>
      </c>
      <c r="S7" s="1" t="s">
        <v>2744</v>
      </c>
      <c r="T7" s="1" t="s">
        <v>2744</v>
      </c>
      <c r="U7" s="1" t="s">
        <v>2744</v>
      </c>
      <c r="V7" s="1" t="s">
        <v>2744</v>
      </c>
      <c r="W7" s="1" t="s">
        <v>2744</v>
      </c>
      <c r="X7" s="1" t="s">
        <v>2744</v>
      </c>
      <c r="Y7" s="1" t="s">
        <v>2744</v>
      </c>
      <c r="Z7" s="1" t="s">
        <v>2744</v>
      </c>
      <c r="AA7" s="1" t="s">
        <v>2744</v>
      </c>
      <c r="AB7" s="1" t="s">
        <v>2744</v>
      </c>
      <c r="AC7" s="1" t="s">
        <v>2744</v>
      </c>
      <c r="AD7" s="1" t="s">
        <v>2744</v>
      </c>
    </row>
    <row r="8" spans="2:30" x14ac:dyDescent="0.3">
      <c r="B8" s="18" t="s">
        <v>3844</v>
      </c>
      <c r="C8" s="25" t="s">
        <v>3897</v>
      </c>
      <c r="D8" s="15" t="s">
        <v>2</v>
      </c>
      <c r="E8" s="53" t="s">
        <v>2</v>
      </c>
      <c r="F8" s="20" t="s">
        <v>2</v>
      </c>
      <c r="G8" s="28"/>
      <c r="H8" s="4"/>
      <c r="I8" s="23"/>
      <c r="J8" s="4"/>
      <c r="K8" s="4"/>
      <c r="L8" s="4"/>
      <c r="M8" s="4"/>
      <c r="N8" s="4"/>
      <c r="O8" s="4"/>
      <c r="P8" s="4"/>
      <c r="Q8" s="24"/>
      <c r="R8" s="4"/>
      <c r="S8" s="6"/>
      <c r="T8" s="2"/>
      <c r="U8" s="2"/>
      <c r="V8" s="2"/>
      <c r="W8" s="31" t="s">
        <v>2</v>
      </c>
      <c r="X8" s="5" t="s">
        <v>2</v>
      </c>
      <c r="Y8" s="5" t="s">
        <v>2</v>
      </c>
      <c r="Z8" s="5" t="s">
        <v>2</v>
      </c>
      <c r="AA8" s="5" t="s">
        <v>2</v>
      </c>
      <c r="AB8" s="21" t="s">
        <v>2</v>
      </c>
      <c r="AC8" s="26" t="s">
        <v>2</v>
      </c>
      <c r="AD8" s="2"/>
    </row>
    <row r="9" spans="2:30" x14ac:dyDescent="0.3">
      <c r="B9" s="7" t="s">
        <v>2744</v>
      </c>
      <c r="C9" s="1" t="s">
        <v>2744</v>
      </c>
      <c r="D9" s="8" t="s">
        <v>2744</v>
      </c>
      <c r="E9" s="1" t="s">
        <v>2744</v>
      </c>
      <c r="F9" s="1" t="s">
        <v>2744</v>
      </c>
      <c r="G9" s="1" t="s">
        <v>2744</v>
      </c>
      <c r="H9" s="1" t="s">
        <v>2744</v>
      </c>
      <c r="I9" s="1" t="s">
        <v>2744</v>
      </c>
      <c r="J9" s="1" t="s">
        <v>2744</v>
      </c>
      <c r="K9" s="1" t="s">
        <v>2744</v>
      </c>
      <c r="L9" s="1" t="s">
        <v>2744</v>
      </c>
      <c r="M9" s="1" t="s">
        <v>2744</v>
      </c>
      <c r="N9" s="1" t="s">
        <v>2744</v>
      </c>
      <c r="O9" s="1" t="s">
        <v>2744</v>
      </c>
      <c r="P9" s="1" t="s">
        <v>2744</v>
      </c>
      <c r="Q9" s="1" t="s">
        <v>2744</v>
      </c>
      <c r="R9" s="1" t="s">
        <v>2744</v>
      </c>
      <c r="S9" s="1" t="s">
        <v>2744</v>
      </c>
      <c r="T9" s="1" t="s">
        <v>2744</v>
      </c>
      <c r="U9" s="1" t="s">
        <v>2744</v>
      </c>
      <c r="V9" s="1" t="s">
        <v>2744</v>
      </c>
      <c r="W9" s="1" t="s">
        <v>2744</v>
      </c>
      <c r="X9" s="1" t="s">
        <v>2744</v>
      </c>
      <c r="Y9" s="1" t="s">
        <v>2744</v>
      </c>
      <c r="Z9" s="1" t="s">
        <v>2744</v>
      </c>
      <c r="AA9" s="1" t="s">
        <v>2744</v>
      </c>
      <c r="AB9" s="1" t="s">
        <v>2744</v>
      </c>
      <c r="AC9" s="1" t="s">
        <v>2744</v>
      </c>
      <c r="AD9" s="1" t="s">
        <v>2744</v>
      </c>
    </row>
    <row r="10" spans="2:30" ht="42" x14ac:dyDescent="0.3">
      <c r="B10" s="19" t="s">
        <v>452</v>
      </c>
      <c r="C10" s="17" t="s">
        <v>453</v>
      </c>
      <c r="D10" s="16"/>
      <c r="E10" s="2"/>
      <c r="F10" s="2"/>
      <c r="G10" s="2"/>
      <c r="H10" s="3">
        <f>SUM(GMIC_22A_SCDPT2SN2!SCDPT2SN2_501BEGINNG_6:GMIC_22A_SCDPT2SN2!SCDPT2SN2_501ENDINGG_6)</f>
        <v>0</v>
      </c>
      <c r="I10" s="2"/>
      <c r="J10" s="3">
        <f>SUM(GMIC_22A_SCDPT2SN2!SCDPT2SN2_501BEGINNG_8:GMIC_22A_SCDPT2SN2!SCDPT2SN2_501ENDINGG_8)</f>
        <v>0</v>
      </c>
      <c r="K10" s="3">
        <f>SUM(GMIC_22A_SCDPT2SN2!SCDPT2SN2_501BEGINNG_9:GMIC_22A_SCDPT2SN2!SCDPT2SN2_501ENDINGG_9)</f>
        <v>0</v>
      </c>
      <c r="L10" s="3">
        <f>SUM(GMIC_22A_SCDPT2SN2!SCDPT2SN2_501BEGINNG_10:GMIC_22A_SCDPT2SN2!SCDPT2SN2_501ENDINGG_10)</f>
        <v>0</v>
      </c>
      <c r="M10" s="3">
        <f>SUM(GMIC_22A_SCDPT2SN2!SCDPT2SN2_501BEGINNG_11:GMIC_22A_SCDPT2SN2!SCDPT2SN2_501ENDINGG_11)</f>
        <v>0</v>
      </c>
      <c r="N10" s="3">
        <f>SUM(GMIC_22A_SCDPT2SN2!SCDPT2SN2_501BEGINNG_12:GMIC_22A_SCDPT2SN2!SCDPT2SN2_501ENDINGG_12)</f>
        <v>0</v>
      </c>
      <c r="O10" s="3">
        <f>SUM(GMIC_22A_SCDPT2SN2!SCDPT2SN2_501BEGINNG_13:GMIC_22A_SCDPT2SN2!SCDPT2SN2_501ENDINGG_13)</f>
        <v>0</v>
      </c>
      <c r="P10" s="3">
        <f>SUM(GMIC_22A_SCDPT2SN2!SCDPT2SN2_501BEGINNG_14:GMIC_22A_SCDPT2SN2!SCDPT2SN2_501ENDINGG_14)</f>
        <v>0</v>
      </c>
      <c r="Q10" s="3">
        <f>SUM(GMIC_22A_SCDPT2SN2!SCDPT2SN2_501BEGINNG_15:GMIC_22A_SCDPT2SN2!SCDPT2SN2_501ENDINGG_15)</f>
        <v>0</v>
      </c>
      <c r="R10" s="3">
        <f>SUM(GMIC_22A_SCDPT2SN2!SCDPT2SN2_501BEGINNG_16:GMIC_22A_SCDPT2SN2!SCDPT2SN2_501ENDINGG_16)</f>
        <v>0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2:30" x14ac:dyDescent="0.3">
      <c r="B11" s="7" t="s">
        <v>2744</v>
      </c>
      <c r="C11" s="1" t="s">
        <v>2744</v>
      </c>
      <c r="D11" s="8" t="s">
        <v>2744</v>
      </c>
      <c r="E11" s="1" t="s">
        <v>2744</v>
      </c>
      <c r="F11" s="1" t="s">
        <v>2744</v>
      </c>
      <c r="G11" s="1" t="s">
        <v>2744</v>
      </c>
      <c r="H11" s="1" t="s">
        <v>2744</v>
      </c>
      <c r="I11" s="1" t="s">
        <v>2744</v>
      </c>
      <c r="J11" s="1" t="s">
        <v>2744</v>
      </c>
      <c r="K11" s="1" t="s">
        <v>2744</v>
      </c>
      <c r="L11" s="1" t="s">
        <v>2744</v>
      </c>
      <c r="M11" s="1" t="s">
        <v>2744</v>
      </c>
      <c r="N11" s="1" t="s">
        <v>2744</v>
      </c>
      <c r="O11" s="1" t="s">
        <v>2744</v>
      </c>
      <c r="P11" s="1" t="s">
        <v>2744</v>
      </c>
      <c r="Q11" s="1" t="s">
        <v>2744</v>
      </c>
      <c r="R11" s="1" t="s">
        <v>2744</v>
      </c>
      <c r="S11" s="1" t="s">
        <v>2744</v>
      </c>
      <c r="T11" s="1" t="s">
        <v>2744</v>
      </c>
      <c r="U11" s="1" t="s">
        <v>2744</v>
      </c>
      <c r="V11" s="1" t="s">
        <v>2744</v>
      </c>
      <c r="W11" s="1" t="s">
        <v>2744</v>
      </c>
      <c r="X11" s="1" t="s">
        <v>2744</v>
      </c>
      <c r="Y11" s="1" t="s">
        <v>2744</v>
      </c>
      <c r="Z11" s="1" t="s">
        <v>2744</v>
      </c>
      <c r="AA11" s="1" t="s">
        <v>2744</v>
      </c>
      <c r="AB11" s="1" t="s">
        <v>2744</v>
      </c>
      <c r="AC11" s="1" t="s">
        <v>2744</v>
      </c>
      <c r="AD11" s="1" t="s">
        <v>2744</v>
      </c>
    </row>
    <row r="12" spans="2:30" x14ac:dyDescent="0.3">
      <c r="B12" s="18" t="s">
        <v>2971</v>
      </c>
      <c r="C12" s="25" t="s">
        <v>3897</v>
      </c>
      <c r="D12" s="15" t="s">
        <v>2</v>
      </c>
      <c r="E12" s="53" t="s">
        <v>2</v>
      </c>
      <c r="F12" s="20" t="s">
        <v>2</v>
      </c>
      <c r="G12" s="28"/>
      <c r="H12" s="4"/>
      <c r="I12" s="23"/>
      <c r="J12" s="4"/>
      <c r="K12" s="4"/>
      <c r="L12" s="4"/>
      <c r="M12" s="4"/>
      <c r="N12" s="4"/>
      <c r="O12" s="4"/>
      <c r="P12" s="4"/>
      <c r="Q12" s="24"/>
      <c r="R12" s="4"/>
      <c r="S12" s="6"/>
      <c r="T12" s="2"/>
      <c r="U12" s="2"/>
      <c r="V12" s="2"/>
      <c r="W12" s="31" t="s">
        <v>2</v>
      </c>
      <c r="X12" s="5" t="s">
        <v>2</v>
      </c>
      <c r="Y12" s="5" t="s">
        <v>2</v>
      </c>
      <c r="Z12" s="5" t="s">
        <v>2</v>
      </c>
      <c r="AA12" s="5" t="s">
        <v>2</v>
      </c>
      <c r="AB12" s="21" t="s">
        <v>2</v>
      </c>
      <c r="AC12" s="26" t="s">
        <v>2</v>
      </c>
      <c r="AD12" s="2"/>
    </row>
    <row r="13" spans="2:30" x14ac:dyDescent="0.3">
      <c r="B13" s="7" t="s">
        <v>2744</v>
      </c>
      <c r="C13" s="1" t="s">
        <v>2744</v>
      </c>
      <c r="D13" s="8" t="s">
        <v>2744</v>
      </c>
      <c r="E13" s="1" t="s">
        <v>2744</v>
      </c>
      <c r="F13" s="1" t="s">
        <v>2744</v>
      </c>
      <c r="G13" s="1" t="s">
        <v>2744</v>
      </c>
      <c r="H13" s="1" t="s">
        <v>2744</v>
      </c>
      <c r="I13" s="1" t="s">
        <v>2744</v>
      </c>
      <c r="J13" s="1" t="s">
        <v>2744</v>
      </c>
      <c r="K13" s="1" t="s">
        <v>2744</v>
      </c>
      <c r="L13" s="1" t="s">
        <v>2744</v>
      </c>
      <c r="M13" s="1" t="s">
        <v>2744</v>
      </c>
      <c r="N13" s="1" t="s">
        <v>2744</v>
      </c>
      <c r="O13" s="1" t="s">
        <v>2744</v>
      </c>
      <c r="P13" s="1" t="s">
        <v>2744</v>
      </c>
      <c r="Q13" s="1" t="s">
        <v>2744</v>
      </c>
      <c r="R13" s="1" t="s">
        <v>2744</v>
      </c>
      <c r="S13" s="1" t="s">
        <v>2744</v>
      </c>
      <c r="T13" s="1" t="s">
        <v>2744</v>
      </c>
      <c r="U13" s="1" t="s">
        <v>2744</v>
      </c>
      <c r="V13" s="1" t="s">
        <v>2744</v>
      </c>
      <c r="W13" s="1" t="s">
        <v>2744</v>
      </c>
      <c r="X13" s="1" t="s">
        <v>2744</v>
      </c>
      <c r="Y13" s="1" t="s">
        <v>2744</v>
      </c>
      <c r="Z13" s="1" t="s">
        <v>2744</v>
      </c>
      <c r="AA13" s="1" t="s">
        <v>2744</v>
      </c>
      <c r="AB13" s="1" t="s">
        <v>2744</v>
      </c>
      <c r="AC13" s="1" t="s">
        <v>2744</v>
      </c>
      <c r="AD13" s="1" t="s">
        <v>2744</v>
      </c>
    </row>
    <row r="14" spans="2:30" ht="42" x14ac:dyDescent="0.3">
      <c r="B14" s="19" t="s">
        <v>4117</v>
      </c>
      <c r="C14" s="17" t="s">
        <v>2972</v>
      </c>
      <c r="D14" s="16"/>
      <c r="E14" s="2"/>
      <c r="F14" s="2"/>
      <c r="G14" s="2"/>
      <c r="H14" s="3">
        <f>SUM(GMIC_22A_SCDPT2SN2!SCDPT2SN2_502BEGINNG_6:GMIC_22A_SCDPT2SN2!SCDPT2SN2_502ENDINGG_6)</f>
        <v>0</v>
      </c>
      <c r="I14" s="2"/>
      <c r="J14" s="3">
        <f>SUM(GMIC_22A_SCDPT2SN2!SCDPT2SN2_502BEGINNG_8:GMIC_22A_SCDPT2SN2!SCDPT2SN2_502ENDINGG_8)</f>
        <v>0</v>
      </c>
      <c r="K14" s="3">
        <f>SUM(GMIC_22A_SCDPT2SN2!SCDPT2SN2_502BEGINNG_9:GMIC_22A_SCDPT2SN2!SCDPT2SN2_502ENDINGG_9)</f>
        <v>0</v>
      </c>
      <c r="L14" s="3">
        <f>SUM(GMIC_22A_SCDPT2SN2!SCDPT2SN2_502BEGINNG_10:GMIC_22A_SCDPT2SN2!SCDPT2SN2_502ENDINGG_10)</f>
        <v>0</v>
      </c>
      <c r="M14" s="3">
        <f>SUM(GMIC_22A_SCDPT2SN2!SCDPT2SN2_502BEGINNG_11:GMIC_22A_SCDPT2SN2!SCDPT2SN2_502ENDINGG_11)</f>
        <v>0</v>
      </c>
      <c r="N14" s="3">
        <f>SUM(GMIC_22A_SCDPT2SN2!SCDPT2SN2_502BEGINNG_12:GMIC_22A_SCDPT2SN2!SCDPT2SN2_502ENDINGG_12)</f>
        <v>0</v>
      </c>
      <c r="O14" s="3">
        <f>SUM(GMIC_22A_SCDPT2SN2!SCDPT2SN2_502BEGINNG_13:GMIC_22A_SCDPT2SN2!SCDPT2SN2_502ENDINGG_13)</f>
        <v>0</v>
      </c>
      <c r="P14" s="3">
        <f>SUM(GMIC_22A_SCDPT2SN2!SCDPT2SN2_502BEGINNG_14:GMIC_22A_SCDPT2SN2!SCDPT2SN2_502ENDINGG_14)</f>
        <v>0</v>
      </c>
      <c r="Q14" s="3">
        <f>SUM(GMIC_22A_SCDPT2SN2!SCDPT2SN2_502BEGINNG_15:GMIC_22A_SCDPT2SN2!SCDPT2SN2_502ENDINGG_15)</f>
        <v>0</v>
      </c>
      <c r="R14" s="3">
        <f>SUM(GMIC_22A_SCDPT2SN2!SCDPT2SN2_502BEGINNG_16:GMIC_22A_SCDPT2SN2!SCDPT2SN2_502ENDINGG_16)</f>
        <v>0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2:30" ht="42" x14ac:dyDescent="0.3">
      <c r="B15" s="19" t="s">
        <v>1574</v>
      </c>
      <c r="C15" s="17" t="s">
        <v>2973</v>
      </c>
      <c r="D15" s="16"/>
      <c r="E15" s="2"/>
      <c r="F15" s="2"/>
      <c r="G15" s="2"/>
      <c r="H15" s="3">
        <f>GMIC_22A_SCDPT2SN2!SCDPT2SN2_5019999999_6+GMIC_22A_SCDPT2SN2!SCDPT2SN2_5029999999_6</f>
        <v>0</v>
      </c>
      <c r="I15" s="2"/>
      <c r="J15" s="3">
        <f>GMIC_22A_SCDPT2SN2!SCDPT2SN2_5019999999_8+GMIC_22A_SCDPT2SN2!SCDPT2SN2_5029999999_8</f>
        <v>0</v>
      </c>
      <c r="K15" s="3">
        <f>GMIC_22A_SCDPT2SN2!SCDPT2SN2_5019999999_9+GMIC_22A_SCDPT2SN2!SCDPT2SN2_5029999999_9</f>
        <v>0</v>
      </c>
      <c r="L15" s="3">
        <f>GMIC_22A_SCDPT2SN2!SCDPT2SN2_5019999999_10+GMIC_22A_SCDPT2SN2!SCDPT2SN2_5029999999_10</f>
        <v>0</v>
      </c>
      <c r="M15" s="3">
        <f>GMIC_22A_SCDPT2SN2!SCDPT2SN2_5019999999_11+GMIC_22A_SCDPT2SN2!SCDPT2SN2_5029999999_11</f>
        <v>0</v>
      </c>
      <c r="N15" s="3">
        <f>GMIC_22A_SCDPT2SN2!SCDPT2SN2_5019999999_12+GMIC_22A_SCDPT2SN2!SCDPT2SN2_5029999999_12</f>
        <v>0</v>
      </c>
      <c r="O15" s="3">
        <f>GMIC_22A_SCDPT2SN2!SCDPT2SN2_5019999999_13+GMIC_22A_SCDPT2SN2!SCDPT2SN2_5029999999_13</f>
        <v>0</v>
      </c>
      <c r="P15" s="3">
        <f>GMIC_22A_SCDPT2SN2!SCDPT2SN2_5019999999_14+GMIC_22A_SCDPT2SN2!SCDPT2SN2_5029999999_14</f>
        <v>0</v>
      </c>
      <c r="Q15" s="3">
        <f>GMIC_22A_SCDPT2SN2!SCDPT2SN2_5019999999_15+GMIC_22A_SCDPT2SN2!SCDPT2SN2_5029999999_15</f>
        <v>0</v>
      </c>
      <c r="R15" s="3">
        <f>GMIC_22A_SCDPT2SN2!SCDPT2SN2_5019999999_16+GMIC_22A_SCDPT2SN2!SCDPT2SN2_5029999999_16</f>
        <v>0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2:30" x14ac:dyDescent="0.3">
      <c r="B16" s="7" t="s">
        <v>2744</v>
      </c>
      <c r="C16" s="1" t="s">
        <v>2744</v>
      </c>
      <c r="D16" s="8" t="s">
        <v>2744</v>
      </c>
      <c r="E16" s="1" t="s">
        <v>2744</v>
      </c>
      <c r="F16" s="1" t="s">
        <v>2744</v>
      </c>
      <c r="G16" s="1" t="s">
        <v>2744</v>
      </c>
      <c r="H16" s="1" t="s">
        <v>2744</v>
      </c>
      <c r="I16" s="1" t="s">
        <v>2744</v>
      </c>
      <c r="J16" s="1" t="s">
        <v>2744</v>
      </c>
      <c r="K16" s="1" t="s">
        <v>2744</v>
      </c>
      <c r="L16" s="1" t="s">
        <v>2744</v>
      </c>
      <c r="M16" s="1" t="s">
        <v>2744</v>
      </c>
      <c r="N16" s="1" t="s">
        <v>2744</v>
      </c>
      <c r="O16" s="1" t="s">
        <v>2744</v>
      </c>
      <c r="P16" s="1" t="s">
        <v>2744</v>
      </c>
      <c r="Q16" s="1" t="s">
        <v>2744</v>
      </c>
      <c r="R16" s="1" t="s">
        <v>2744</v>
      </c>
      <c r="S16" s="1" t="s">
        <v>2744</v>
      </c>
      <c r="T16" s="1" t="s">
        <v>2744</v>
      </c>
      <c r="U16" s="1" t="s">
        <v>2744</v>
      </c>
      <c r="V16" s="1" t="s">
        <v>2744</v>
      </c>
      <c r="W16" s="1" t="s">
        <v>2744</v>
      </c>
      <c r="X16" s="1" t="s">
        <v>2744</v>
      </c>
      <c r="Y16" s="1" t="s">
        <v>2744</v>
      </c>
      <c r="Z16" s="1" t="s">
        <v>2744</v>
      </c>
      <c r="AA16" s="1" t="s">
        <v>2744</v>
      </c>
      <c r="AB16" s="1" t="s">
        <v>2744</v>
      </c>
      <c r="AC16" s="1" t="s">
        <v>2744</v>
      </c>
      <c r="AD16" s="1" t="s">
        <v>2744</v>
      </c>
    </row>
    <row r="17" spans="2:30" x14ac:dyDescent="0.3">
      <c r="B17" s="18" t="s">
        <v>198</v>
      </c>
      <c r="C17" s="25" t="s">
        <v>3897</v>
      </c>
      <c r="D17" s="15" t="s">
        <v>2</v>
      </c>
      <c r="E17" s="53" t="s">
        <v>2</v>
      </c>
      <c r="F17" s="20" t="s">
        <v>2</v>
      </c>
      <c r="G17" s="28"/>
      <c r="H17" s="4"/>
      <c r="I17" s="23"/>
      <c r="J17" s="4"/>
      <c r="K17" s="4"/>
      <c r="L17" s="4"/>
      <c r="M17" s="4"/>
      <c r="N17" s="4"/>
      <c r="O17" s="4"/>
      <c r="P17" s="4"/>
      <c r="Q17" s="24"/>
      <c r="R17" s="4"/>
      <c r="S17" s="6"/>
      <c r="T17" s="32" t="s">
        <v>2</v>
      </c>
      <c r="U17" s="33" t="s">
        <v>2</v>
      </c>
      <c r="V17" s="66" t="s">
        <v>2</v>
      </c>
      <c r="W17" s="31" t="s">
        <v>2</v>
      </c>
      <c r="X17" s="5" t="s">
        <v>2</v>
      </c>
      <c r="Y17" s="5" t="s">
        <v>2</v>
      </c>
      <c r="Z17" s="5" t="s">
        <v>2</v>
      </c>
      <c r="AA17" s="5" t="s">
        <v>2</v>
      </c>
      <c r="AB17" s="21" t="s">
        <v>2</v>
      </c>
      <c r="AC17" s="26" t="s">
        <v>2</v>
      </c>
      <c r="AD17" s="34" t="s">
        <v>2</v>
      </c>
    </row>
    <row r="18" spans="2:30" x14ac:dyDescent="0.3">
      <c r="B18" s="7" t="s">
        <v>2744</v>
      </c>
      <c r="C18" s="1" t="s">
        <v>2744</v>
      </c>
      <c r="D18" s="8" t="s">
        <v>2744</v>
      </c>
      <c r="E18" s="1" t="s">
        <v>2744</v>
      </c>
      <c r="F18" s="1" t="s">
        <v>2744</v>
      </c>
      <c r="G18" s="1" t="s">
        <v>2744</v>
      </c>
      <c r="H18" s="1" t="s">
        <v>2744</v>
      </c>
      <c r="I18" s="1" t="s">
        <v>2744</v>
      </c>
      <c r="J18" s="1" t="s">
        <v>2744</v>
      </c>
      <c r="K18" s="1" t="s">
        <v>2744</v>
      </c>
      <c r="L18" s="1" t="s">
        <v>2744</v>
      </c>
      <c r="M18" s="1" t="s">
        <v>2744</v>
      </c>
      <c r="N18" s="1" t="s">
        <v>2744</v>
      </c>
      <c r="O18" s="1" t="s">
        <v>2744</v>
      </c>
      <c r="P18" s="1" t="s">
        <v>2744</v>
      </c>
      <c r="Q18" s="1" t="s">
        <v>2744</v>
      </c>
      <c r="R18" s="1" t="s">
        <v>2744</v>
      </c>
      <c r="S18" s="1" t="s">
        <v>2744</v>
      </c>
      <c r="T18" s="1" t="s">
        <v>2744</v>
      </c>
      <c r="U18" s="1" t="s">
        <v>2744</v>
      </c>
      <c r="V18" s="1" t="s">
        <v>2744</v>
      </c>
      <c r="W18" s="1" t="s">
        <v>2744</v>
      </c>
      <c r="X18" s="1" t="s">
        <v>2744</v>
      </c>
      <c r="Y18" s="1" t="s">
        <v>2744</v>
      </c>
      <c r="Z18" s="1" t="s">
        <v>2744</v>
      </c>
      <c r="AA18" s="1" t="s">
        <v>2744</v>
      </c>
      <c r="AB18" s="1" t="s">
        <v>2744</v>
      </c>
      <c r="AC18" s="1" t="s">
        <v>2744</v>
      </c>
      <c r="AD18" s="1" t="s">
        <v>2744</v>
      </c>
    </row>
    <row r="19" spans="2:30" ht="42" x14ac:dyDescent="0.3">
      <c r="B19" s="19" t="s">
        <v>1344</v>
      </c>
      <c r="C19" s="17" t="s">
        <v>702</v>
      </c>
      <c r="D19" s="16"/>
      <c r="E19" s="2"/>
      <c r="F19" s="2"/>
      <c r="G19" s="2"/>
      <c r="H19" s="3">
        <f>SUM(GMIC_22A_SCDPT2SN2!SCDPT2SN2_531BEGINNG_6:GMIC_22A_SCDPT2SN2!SCDPT2SN2_531ENDINGG_6)</f>
        <v>0</v>
      </c>
      <c r="I19" s="2"/>
      <c r="J19" s="3">
        <f>SUM(GMIC_22A_SCDPT2SN2!SCDPT2SN2_531BEGINNG_8:GMIC_22A_SCDPT2SN2!SCDPT2SN2_531ENDINGG_8)</f>
        <v>0</v>
      </c>
      <c r="K19" s="3">
        <f>SUM(GMIC_22A_SCDPT2SN2!SCDPT2SN2_531BEGINNG_9:GMIC_22A_SCDPT2SN2!SCDPT2SN2_531ENDINGG_9)</f>
        <v>0</v>
      </c>
      <c r="L19" s="3">
        <f>SUM(GMIC_22A_SCDPT2SN2!SCDPT2SN2_531BEGINNG_10:GMIC_22A_SCDPT2SN2!SCDPT2SN2_531ENDINGG_10)</f>
        <v>0</v>
      </c>
      <c r="M19" s="3">
        <f>SUM(GMIC_22A_SCDPT2SN2!SCDPT2SN2_531BEGINNG_11:GMIC_22A_SCDPT2SN2!SCDPT2SN2_531ENDINGG_11)</f>
        <v>0</v>
      </c>
      <c r="N19" s="3">
        <f>SUM(GMIC_22A_SCDPT2SN2!SCDPT2SN2_531BEGINNG_12:GMIC_22A_SCDPT2SN2!SCDPT2SN2_531ENDINGG_12)</f>
        <v>0</v>
      </c>
      <c r="O19" s="3">
        <f>SUM(GMIC_22A_SCDPT2SN2!SCDPT2SN2_531BEGINNG_13:GMIC_22A_SCDPT2SN2!SCDPT2SN2_531ENDINGG_13)</f>
        <v>0</v>
      </c>
      <c r="P19" s="3">
        <f>SUM(GMIC_22A_SCDPT2SN2!SCDPT2SN2_531BEGINNG_14:GMIC_22A_SCDPT2SN2!SCDPT2SN2_531ENDINGG_14)</f>
        <v>0</v>
      </c>
      <c r="Q19" s="3">
        <f>SUM(GMIC_22A_SCDPT2SN2!SCDPT2SN2_531BEGINNG_15:GMIC_22A_SCDPT2SN2!SCDPT2SN2_531ENDINGG_15)</f>
        <v>0</v>
      </c>
      <c r="R19" s="3">
        <f>SUM(GMIC_22A_SCDPT2SN2!SCDPT2SN2_531BEGINNG_16:GMIC_22A_SCDPT2SN2!SCDPT2SN2_531ENDINGG_16)</f>
        <v>0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2:30" x14ac:dyDescent="0.3">
      <c r="B20" s="7" t="s">
        <v>2744</v>
      </c>
      <c r="C20" s="1" t="s">
        <v>2744</v>
      </c>
      <c r="D20" s="8" t="s">
        <v>2744</v>
      </c>
      <c r="E20" s="1" t="s">
        <v>2744</v>
      </c>
      <c r="F20" s="1" t="s">
        <v>2744</v>
      </c>
      <c r="G20" s="1" t="s">
        <v>2744</v>
      </c>
      <c r="H20" s="1" t="s">
        <v>2744</v>
      </c>
      <c r="I20" s="1" t="s">
        <v>2744</v>
      </c>
      <c r="J20" s="1" t="s">
        <v>2744</v>
      </c>
      <c r="K20" s="1" t="s">
        <v>2744</v>
      </c>
      <c r="L20" s="1" t="s">
        <v>2744</v>
      </c>
      <c r="M20" s="1" t="s">
        <v>2744</v>
      </c>
      <c r="N20" s="1" t="s">
        <v>2744</v>
      </c>
      <c r="O20" s="1" t="s">
        <v>2744</v>
      </c>
      <c r="P20" s="1" t="s">
        <v>2744</v>
      </c>
      <c r="Q20" s="1" t="s">
        <v>2744</v>
      </c>
      <c r="R20" s="1" t="s">
        <v>2744</v>
      </c>
      <c r="S20" s="1" t="s">
        <v>2744</v>
      </c>
      <c r="T20" s="1" t="s">
        <v>2744</v>
      </c>
      <c r="U20" s="1" t="s">
        <v>2744</v>
      </c>
      <c r="V20" s="1" t="s">
        <v>2744</v>
      </c>
      <c r="W20" s="1" t="s">
        <v>2744</v>
      </c>
      <c r="X20" s="1" t="s">
        <v>2744</v>
      </c>
      <c r="Y20" s="1" t="s">
        <v>2744</v>
      </c>
      <c r="Z20" s="1" t="s">
        <v>2744</v>
      </c>
      <c r="AA20" s="1" t="s">
        <v>2744</v>
      </c>
      <c r="AB20" s="1" t="s">
        <v>2744</v>
      </c>
      <c r="AC20" s="1" t="s">
        <v>2744</v>
      </c>
      <c r="AD20" s="1" t="s">
        <v>2744</v>
      </c>
    </row>
    <row r="21" spans="2:30" x14ac:dyDescent="0.3">
      <c r="B21" s="18" t="s">
        <v>3845</v>
      </c>
      <c r="C21" s="25" t="s">
        <v>3897</v>
      </c>
      <c r="D21" s="15" t="s">
        <v>2</v>
      </c>
      <c r="E21" s="53" t="s">
        <v>2</v>
      </c>
      <c r="F21" s="20" t="s">
        <v>2</v>
      </c>
      <c r="G21" s="28"/>
      <c r="H21" s="4"/>
      <c r="I21" s="23"/>
      <c r="J21" s="4"/>
      <c r="K21" s="4"/>
      <c r="L21" s="4"/>
      <c r="M21" s="4"/>
      <c r="N21" s="4"/>
      <c r="O21" s="4"/>
      <c r="P21" s="4"/>
      <c r="Q21" s="24"/>
      <c r="R21" s="4"/>
      <c r="S21" s="6"/>
      <c r="T21" s="32" t="s">
        <v>2</v>
      </c>
      <c r="U21" s="33" t="s">
        <v>2</v>
      </c>
      <c r="V21" s="66" t="s">
        <v>2</v>
      </c>
      <c r="W21" s="31" t="s">
        <v>2</v>
      </c>
      <c r="X21" s="5" t="s">
        <v>2</v>
      </c>
      <c r="Y21" s="5" t="s">
        <v>2</v>
      </c>
      <c r="Z21" s="5" t="s">
        <v>2</v>
      </c>
      <c r="AA21" s="5" t="s">
        <v>2</v>
      </c>
      <c r="AB21" s="21" t="s">
        <v>2</v>
      </c>
      <c r="AC21" s="26" t="s">
        <v>2</v>
      </c>
      <c r="AD21" s="34" t="s">
        <v>2</v>
      </c>
    </row>
    <row r="22" spans="2:30" x14ac:dyDescent="0.3">
      <c r="B22" s="7" t="s">
        <v>2744</v>
      </c>
      <c r="C22" s="1" t="s">
        <v>2744</v>
      </c>
      <c r="D22" s="8" t="s">
        <v>2744</v>
      </c>
      <c r="E22" s="1" t="s">
        <v>2744</v>
      </c>
      <c r="F22" s="1" t="s">
        <v>2744</v>
      </c>
      <c r="G22" s="1" t="s">
        <v>2744</v>
      </c>
      <c r="H22" s="1" t="s">
        <v>2744</v>
      </c>
      <c r="I22" s="1" t="s">
        <v>2744</v>
      </c>
      <c r="J22" s="1" t="s">
        <v>2744</v>
      </c>
      <c r="K22" s="1" t="s">
        <v>2744</v>
      </c>
      <c r="L22" s="1" t="s">
        <v>2744</v>
      </c>
      <c r="M22" s="1" t="s">
        <v>2744</v>
      </c>
      <c r="N22" s="1" t="s">
        <v>2744</v>
      </c>
      <c r="O22" s="1" t="s">
        <v>2744</v>
      </c>
      <c r="P22" s="1" t="s">
        <v>2744</v>
      </c>
      <c r="Q22" s="1" t="s">
        <v>2744</v>
      </c>
      <c r="R22" s="1" t="s">
        <v>2744</v>
      </c>
      <c r="S22" s="1" t="s">
        <v>2744</v>
      </c>
      <c r="T22" s="1" t="s">
        <v>2744</v>
      </c>
      <c r="U22" s="1" t="s">
        <v>2744</v>
      </c>
      <c r="V22" s="1" t="s">
        <v>2744</v>
      </c>
      <c r="W22" s="1" t="s">
        <v>2744</v>
      </c>
      <c r="X22" s="1" t="s">
        <v>2744</v>
      </c>
      <c r="Y22" s="1" t="s">
        <v>2744</v>
      </c>
      <c r="Z22" s="1" t="s">
        <v>2744</v>
      </c>
      <c r="AA22" s="1" t="s">
        <v>2744</v>
      </c>
      <c r="AB22" s="1" t="s">
        <v>2744</v>
      </c>
      <c r="AC22" s="1" t="s">
        <v>2744</v>
      </c>
      <c r="AD22" s="1" t="s">
        <v>2744</v>
      </c>
    </row>
    <row r="23" spans="2:30" ht="42" x14ac:dyDescent="0.3">
      <c r="B23" s="19" t="s">
        <v>454</v>
      </c>
      <c r="C23" s="17" t="s">
        <v>3846</v>
      </c>
      <c r="D23" s="16"/>
      <c r="E23" s="2"/>
      <c r="F23" s="2"/>
      <c r="G23" s="2"/>
      <c r="H23" s="3">
        <f>SUM(GMIC_22A_SCDPT2SN2!SCDPT2SN2_532BEGINNG_6:GMIC_22A_SCDPT2SN2!SCDPT2SN2_532ENDINGG_6)</f>
        <v>0</v>
      </c>
      <c r="I23" s="2"/>
      <c r="J23" s="3">
        <f>SUM(GMIC_22A_SCDPT2SN2!SCDPT2SN2_532BEGINNG_8:GMIC_22A_SCDPT2SN2!SCDPT2SN2_532ENDINGG_8)</f>
        <v>0</v>
      </c>
      <c r="K23" s="3">
        <f>SUM(GMIC_22A_SCDPT2SN2!SCDPT2SN2_532BEGINNG_9:GMIC_22A_SCDPT2SN2!SCDPT2SN2_532ENDINGG_9)</f>
        <v>0</v>
      </c>
      <c r="L23" s="3">
        <f>SUM(GMIC_22A_SCDPT2SN2!SCDPT2SN2_532BEGINNG_10:GMIC_22A_SCDPT2SN2!SCDPT2SN2_532ENDINGG_10)</f>
        <v>0</v>
      </c>
      <c r="M23" s="3">
        <f>SUM(GMIC_22A_SCDPT2SN2!SCDPT2SN2_532BEGINNG_11:GMIC_22A_SCDPT2SN2!SCDPT2SN2_532ENDINGG_11)</f>
        <v>0</v>
      </c>
      <c r="N23" s="3">
        <f>SUM(GMIC_22A_SCDPT2SN2!SCDPT2SN2_532BEGINNG_12:GMIC_22A_SCDPT2SN2!SCDPT2SN2_532ENDINGG_12)</f>
        <v>0</v>
      </c>
      <c r="O23" s="3">
        <f>SUM(GMIC_22A_SCDPT2SN2!SCDPT2SN2_532BEGINNG_13:GMIC_22A_SCDPT2SN2!SCDPT2SN2_532ENDINGG_13)</f>
        <v>0</v>
      </c>
      <c r="P23" s="3">
        <f>SUM(GMIC_22A_SCDPT2SN2!SCDPT2SN2_532BEGINNG_14:GMIC_22A_SCDPT2SN2!SCDPT2SN2_532ENDINGG_14)</f>
        <v>0</v>
      </c>
      <c r="Q23" s="3">
        <f>SUM(GMIC_22A_SCDPT2SN2!SCDPT2SN2_532BEGINNG_15:GMIC_22A_SCDPT2SN2!SCDPT2SN2_532ENDINGG_15)</f>
        <v>0</v>
      </c>
      <c r="R23" s="3">
        <f>SUM(GMIC_22A_SCDPT2SN2!SCDPT2SN2_532BEGINNG_16:GMIC_22A_SCDPT2SN2!SCDPT2SN2_532ENDINGG_16)</f>
        <v>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2:30" ht="28" x14ac:dyDescent="0.3">
      <c r="B24" s="19" t="s">
        <v>2473</v>
      </c>
      <c r="C24" s="17" t="s">
        <v>2974</v>
      </c>
      <c r="D24" s="16"/>
      <c r="E24" s="2"/>
      <c r="F24" s="2"/>
      <c r="G24" s="2"/>
      <c r="H24" s="3">
        <f>GMIC_22A_SCDPT2SN2!SCDPT2SN2_5319999999_6+GMIC_22A_SCDPT2SN2!SCDPT2SN2_5329999999_6</f>
        <v>0</v>
      </c>
      <c r="I24" s="2"/>
      <c r="J24" s="3">
        <f>GMIC_22A_SCDPT2SN2!SCDPT2SN2_5319999999_8+GMIC_22A_SCDPT2SN2!SCDPT2SN2_5329999999_8</f>
        <v>0</v>
      </c>
      <c r="K24" s="3">
        <f>GMIC_22A_SCDPT2SN2!SCDPT2SN2_5319999999_9+GMIC_22A_SCDPT2SN2!SCDPT2SN2_5329999999_9</f>
        <v>0</v>
      </c>
      <c r="L24" s="3">
        <f>GMIC_22A_SCDPT2SN2!SCDPT2SN2_5319999999_10+GMIC_22A_SCDPT2SN2!SCDPT2SN2_5329999999_10</f>
        <v>0</v>
      </c>
      <c r="M24" s="3">
        <f>GMIC_22A_SCDPT2SN2!SCDPT2SN2_5319999999_11+GMIC_22A_SCDPT2SN2!SCDPT2SN2_5329999999_11</f>
        <v>0</v>
      </c>
      <c r="N24" s="3">
        <f>GMIC_22A_SCDPT2SN2!SCDPT2SN2_5319999999_12+GMIC_22A_SCDPT2SN2!SCDPT2SN2_5329999999_12</f>
        <v>0</v>
      </c>
      <c r="O24" s="3">
        <f>GMIC_22A_SCDPT2SN2!SCDPT2SN2_5319999999_13+GMIC_22A_SCDPT2SN2!SCDPT2SN2_5329999999_13</f>
        <v>0</v>
      </c>
      <c r="P24" s="3">
        <f>GMIC_22A_SCDPT2SN2!SCDPT2SN2_5319999999_14+GMIC_22A_SCDPT2SN2!SCDPT2SN2_5329999999_14</f>
        <v>0</v>
      </c>
      <c r="Q24" s="3">
        <f>GMIC_22A_SCDPT2SN2!SCDPT2SN2_5319999999_15+GMIC_22A_SCDPT2SN2!SCDPT2SN2_5329999999_15</f>
        <v>0</v>
      </c>
      <c r="R24" s="3">
        <f>GMIC_22A_SCDPT2SN2!SCDPT2SN2_5319999999_16+GMIC_22A_SCDPT2SN2!SCDPT2SN2_5329999999_16</f>
        <v>0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2:30" x14ac:dyDescent="0.3">
      <c r="B25" s="7" t="s">
        <v>2744</v>
      </c>
      <c r="C25" s="1" t="s">
        <v>2744</v>
      </c>
      <c r="D25" s="8" t="s">
        <v>2744</v>
      </c>
      <c r="E25" s="1" t="s">
        <v>2744</v>
      </c>
      <c r="F25" s="1" t="s">
        <v>2744</v>
      </c>
      <c r="G25" s="1" t="s">
        <v>2744</v>
      </c>
      <c r="H25" s="1" t="s">
        <v>2744</v>
      </c>
      <c r="I25" s="1" t="s">
        <v>2744</v>
      </c>
      <c r="J25" s="1" t="s">
        <v>2744</v>
      </c>
      <c r="K25" s="1" t="s">
        <v>2744</v>
      </c>
      <c r="L25" s="1" t="s">
        <v>2744</v>
      </c>
      <c r="M25" s="1" t="s">
        <v>2744</v>
      </c>
      <c r="N25" s="1" t="s">
        <v>2744</v>
      </c>
      <c r="O25" s="1" t="s">
        <v>2744</v>
      </c>
      <c r="P25" s="1" t="s">
        <v>2744</v>
      </c>
      <c r="Q25" s="1" t="s">
        <v>2744</v>
      </c>
      <c r="R25" s="1" t="s">
        <v>2744</v>
      </c>
      <c r="S25" s="1" t="s">
        <v>2744</v>
      </c>
      <c r="T25" s="1" t="s">
        <v>2744</v>
      </c>
      <c r="U25" s="1" t="s">
        <v>2744</v>
      </c>
      <c r="V25" s="1" t="s">
        <v>2744</v>
      </c>
      <c r="W25" s="1" t="s">
        <v>2744</v>
      </c>
      <c r="X25" s="1" t="s">
        <v>2744</v>
      </c>
      <c r="Y25" s="1" t="s">
        <v>2744</v>
      </c>
      <c r="Z25" s="1" t="s">
        <v>2744</v>
      </c>
      <c r="AA25" s="1" t="s">
        <v>2744</v>
      </c>
      <c r="AB25" s="1" t="s">
        <v>2744</v>
      </c>
      <c r="AC25" s="1" t="s">
        <v>2744</v>
      </c>
      <c r="AD25" s="1" t="s">
        <v>2744</v>
      </c>
    </row>
    <row r="26" spans="2:30" x14ac:dyDescent="0.3">
      <c r="B26" s="18" t="s">
        <v>703</v>
      </c>
      <c r="C26" s="25" t="s">
        <v>3897</v>
      </c>
      <c r="D26" s="15" t="s">
        <v>2</v>
      </c>
      <c r="E26" s="53" t="s">
        <v>2</v>
      </c>
      <c r="F26" s="20" t="s">
        <v>2</v>
      </c>
      <c r="G26" s="28"/>
      <c r="H26" s="4"/>
      <c r="I26" s="23"/>
      <c r="J26" s="4"/>
      <c r="K26" s="4"/>
      <c r="L26" s="4"/>
      <c r="M26" s="4"/>
      <c r="N26" s="4"/>
      <c r="O26" s="4"/>
      <c r="P26" s="4"/>
      <c r="Q26" s="24"/>
      <c r="R26" s="4"/>
      <c r="S26" s="10"/>
      <c r="T26" s="32" t="s">
        <v>2</v>
      </c>
      <c r="U26" s="33" t="s">
        <v>2</v>
      </c>
      <c r="V26" s="66" t="s">
        <v>2</v>
      </c>
      <c r="W26" s="31" t="s">
        <v>2</v>
      </c>
      <c r="X26" s="5" t="s">
        <v>2</v>
      </c>
      <c r="Y26" s="5" t="s">
        <v>2</v>
      </c>
      <c r="Z26" s="5" t="s">
        <v>2</v>
      </c>
      <c r="AA26" s="5" t="s">
        <v>2</v>
      </c>
      <c r="AB26" s="21" t="s">
        <v>2</v>
      </c>
      <c r="AC26" s="26" t="s">
        <v>2</v>
      </c>
      <c r="AD26" s="34" t="s">
        <v>2</v>
      </c>
    </row>
    <row r="27" spans="2:30" x14ac:dyDescent="0.3">
      <c r="B27" s="7" t="s">
        <v>2744</v>
      </c>
      <c r="C27" s="1" t="s">
        <v>2744</v>
      </c>
      <c r="D27" s="8" t="s">
        <v>2744</v>
      </c>
      <c r="E27" s="1" t="s">
        <v>2744</v>
      </c>
      <c r="F27" s="1" t="s">
        <v>2744</v>
      </c>
      <c r="G27" s="1" t="s">
        <v>2744</v>
      </c>
      <c r="H27" s="1" t="s">
        <v>2744</v>
      </c>
      <c r="I27" s="1" t="s">
        <v>2744</v>
      </c>
      <c r="J27" s="1" t="s">
        <v>2744</v>
      </c>
      <c r="K27" s="1" t="s">
        <v>2744</v>
      </c>
      <c r="L27" s="1" t="s">
        <v>2744</v>
      </c>
      <c r="M27" s="1" t="s">
        <v>2744</v>
      </c>
      <c r="N27" s="1" t="s">
        <v>2744</v>
      </c>
      <c r="O27" s="1" t="s">
        <v>2744</v>
      </c>
      <c r="P27" s="1" t="s">
        <v>2744</v>
      </c>
      <c r="Q27" s="1" t="s">
        <v>2744</v>
      </c>
      <c r="R27" s="1" t="s">
        <v>2744</v>
      </c>
      <c r="S27" s="1" t="s">
        <v>2744</v>
      </c>
      <c r="T27" s="1" t="s">
        <v>2744</v>
      </c>
      <c r="U27" s="1" t="s">
        <v>2744</v>
      </c>
      <c r="V27" s="1" t="s">
        <v>2744</v>
      </c>
      <c r="W27" s="1" t="s">
        <v>2744</v>
      </c>
      <c r="X27" s="1" t="s">
        <v>2744</v>
      </c>
      <c r="Y27" s="1" t="s">
        <v>2744</v>
      </c>
      <c r="Z27" s="1" t="s">
        <v>2744</v>
      </c>
      <c r="AA27" s="1" t="s">
        <v>2744</v>
      </c>
      <c r="AB27" s="1" t="s">
        <v>2744</v>
      </c>
      <c r="AC27" s="1" t="s">
        <v>2744</v>
      </c>
      <c r="AD27" s="1" t="s">
        <v>2744</v>
      </c>
    </row>
    <row r="28" spans="2:30" ht="56" x14ac:dyDescent="0.3">
      <c r="B28" s="19" t="s">
        <v>1841</v>
      </c>
      <c r="C28" s="17" t="s">
        <v>704</v>
      </c>
      <c r="D28" s="16"/>
      <c r="E28" s="2"/>
      <c r="F28" s="2"/>
      <c r="G28" s="2"/>
      <c r="H28" s="3">
        <f>SUM(GMIC_22A_SCDPT2SN2!SCDPT2SN2_551BEGINNG_6:GMIC_22A_SCDPT2SN2!SCDPT2SN2_551ENDINGG_6)</f>
        <v>0</v>
      </c>
      <c r="I28" s="2"/>
      <c r="J28" s="3">
        <f>SUM(GMIC_22A_SCDPT2SN2!SCDPT2SN2_551BEGINNG_8:GMIC_22A_SCDPT2SN2!SCDPT2SN2_551ENDINGG_8)</f>
        <v>0</v>
      </c>
      <c r="K28" s="3">
        <f>SUM(GMIC_22A_SCDPT2SN2!SCDPT2SN2_551BEGINNG_9:GMIC_22A_SCDPT2SN2!SCDPT2SN2_551ENDINGG_9)</f>
        <v>0</v>
      </c>
      <c r="L28" s="3">
        <f>SUM(GMIC_22A_SCDPT2SN2!SCDPT2SN2_551BEGINNG_10:GMIC_22A_SCDPT2SN2!SCDPT2SN2_551ENDINGG_10)</f>
        <v>0</v>
      </c>
      <c r="M28" s="3">
        <f>SUM(GMIC_22A_SCDPT2SN2!SCDPT2SN2_551BEGINNG_11:GMIC_22A_SCDPT2SN2!SCDPT2SN2_551ENDINGG_11)</f>
        <v>0</v>
      </c>
      <c r="N28" s="3">
        <f>SUM(GMIC_22A_SCDPT2SN2!SCDPT2SN2_551BEGINNG_12:GMIC_22A_SCDPT2SN2!SCDPT2SN2_551ENDINGG_12)</f>
        <v>0</v>
      </c>
      <c r="O28" s="3">
        <f>SUM(GMIC_22A_SCDPT2SN2!SCDPT2SN2_551BEGINNG_13:GMIC_22A_SCDPT2SN2!SCDPT2SN2_551ENDINGG_13)</f>
        <v>0</v>
      </c>
      <c r="P28" s="3">
        <f>SUM(GMIC_22A_SCDPT2SN2!SCDPT2SN2_551BEGINNG_14:GMIC_22A_SCDPT2SN2!SCDPT2SN2_551ENDINGG_14)</f>
        <v>0</v>
      </c>
      <c r="Q28" s="3">
        <f>SUM(GMIC_22A_SCDPT2SN2!SCDPT2SN2_551BEGINNG_15:GMIC_22A_SCDPT2SN2!SCDPT2SN2_551ENDINGG_15)</f>
        <v>0</v>
      </c>
      <c r="R28" s="3">
        <f>SUM(GMIC_22A_SCDPT2SN2!SCDPT2SN2_551BEGINNG_16:GMIC_22A_SCDPT2SN2!SCDPT2SN2_551ENDINGG_16)</f>
        <v>0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2:30" x14ac:dyDescent="0.3">
      <c r="B29" s="7" t="s">
        <v>2744</v>
      </c>
      <c r="C29" s="1" t="s">
        <v>2744</v>
      </c>
      <c r="D29" s="8" t="s">
        <v>2744</v>
      </c>
      <c r="E29" s="1" t="s">
        <v>2744</v>
      </c>
      <c r="F29" s="1" t="s">
        <v>2744</v>
      </c>
      <c r="G29" s="1" t="s">
        <v>2744</v>
      </c>
      <c r="H29" s="1" t="s">
        <v>2744</v>
      </c>
      <c r="I29" s="1" t="s">
        <v>2744</v>
      </c>
      <c r="J29" s="1" t="s">
        <v>2744</v>
      </c>
      <c r="K29" s="1" t="s">
        <v>2744</v>
      </c>
      <c r="L29" s="1" t="s">
        <v>2744</v>
      </c>
      <c r="M29" s="1" t="s">
        <v>2744</v>
      </c>
      <c r="N29" s="1" t="s">
        <v>2744</v>
      </c>
      <c r="O29" s="1" t="s">
        <v>2744</v>
      </c>
      <c r="P29" s="1" t="s">
        <v>2744</v>
      </c>
      <c r="Q29" s="1" t="s">
        <v>2744</v>
      </c>
      <c r="R29" s="1" t="s">
        <v>2744</v>
      </c>
      <c r="S29" s="1" t="s">
        <v>2744</v>
      </c>
      <c r="T29" s="1" t="s">
        <v>2744</v>
      </c>
      <c r="U29" s="1" t="s">
        <v>2744</v>
      </c>
      <c r="V29" s="1" t="s">
        <v>2744</v>
      </c>
      <c r="W29" s="1" t="s">
        <v>2744</v>
      </c>
      <c r="X29" s="1" t="s">
        <v>2744</v>
      </c>
      <c r="Y29" s="1" t="s">
        <v>2744</v>
      </c>
      <c r="Z29" s="1" t="s">
        <v>2744</v>
      </c>
      <c r="AA29" s="1" t="s">
        <v>2744</v>
      </c>
      <c r="AB29" s="1" t="s">
        <v>2744</v>
      </c>
      <c r="AC29" s="1" t="s">
        <v>2744</v>
      </c>
      <c r="AD29" s="1" t="s">
        <v>2744</v>
      </c>
    </row>
    <row r="30" spans="2:30" x14ac:dyDescent="0.3">
      <c r="B30" s="18" t="s">
        <v>4452</v>
      </c>
      <c r="C30" s="25" t="s">
        <v>3897</v>
      </c>
      <c r="D30" s="15" t="s">
        <v>2</v>
      </c>
      <c r="E30" s="53" t="s">
        <v>2</v>
      </c>
      <c r="F30" s="20" t="s">
        <v>2</v>
      </c>
      <c r="G30" s="28"/>
      <c r="H30" s="4"/>
      <c r="I30" s="23"/>
      <c r="J30" s="4"/>
      <c r="K30" s="4"/>
      <c r="L30" s="4"/>
      <c r="M30" s="4"/>
      <c r="N30" s="4"/>
      <c r="O30" s="4"/>
      <c r="P30" s="4"/>
      <c r="Q30" s="24"/>
      <c r="R30" s="4"/>
      <c r="S30" s="6"/>
      <c r="T30" s="32" t="s">
        <v>2</v>
      </c>
      <c r="U30" s="33" t="s">
        <v>2</v>
      </c>
      <c r="V30" s="66" t="s">
        <v>2</v>
      </c>
      <c r="W30" s="31" t="s">
        <v>2</v>
      </c>
      <c r="X30" s="5" t="s">
        <v>2</v>
      </c>
      <c r="Y30" s="5" t="s">
        <v>2</v>
      </c>
      <c r="Z30" s="5" t="s">
        <v>2</v>
      </c>
      <c r="AA30" s="5" t="s">
        <v>2</v>
      </c>
      <c r="AB30" s="21" t="s">
        <v>2</v>
      </c>
      <c r="AC30" s="26" t="s">
        <v>2</v>
      </c>
      <c r="AD30" s="34" t="s">
        <v>2</v>
      </c>
    </row>
    <row r="31" spans="2:30" x14ac:dyDescent="0.3">
      <c r="B31" s="7" t="s">
        <v>2744</v>
      </c>
      <c r="C31" s="1" t="s">
        <v>2744</v>
      </c>
      <c r="D31" s="8" t="s">
        <v>2744</v>
      </c>
      <c r="E31" s="1" t="s">
        <v>2744</v>
      </c>
      <c r="F31" s="1" t="s">
        <v>2744</v>
      </c>
      <c r="G31" s="1" t="s">
        <v>2744</v>
      </c>
      <c r="H31" s="1" t="s">
        <v>2744</v>
      </c>
      <c r="I31" s="1" t="s">
        <v>2744</v>
      </c>
      <c r="J31" s="1" t="s">
        <v>2744</v>
      </c>
      <c r="K31" s="1" t="s">
        <v>2744</v>
      </c>
      <c r="L31" s="1" t="s">
        <v>2744</v>
      </c>
      <c r="M31" s="1" t="s">
        <v>2744</v>
      </c>
      <c r="N31" s="1" t="s">
        <v>2744</v>
      </c>
      <c r="O31" s="1" t="s">
        <v>2744</v>
      </c>
      <c r="P31" s="1" t="s">
        <v>2744</v>
      </c>
      <c r="Q31" s="1" t="s">
        <v>2744</v>
      </c>
      <c r="R31" s="1" t="s">
        <v>2744</v>
      </c>
      <c r="S31" s="1" t="s">
        <v>2744</v>
      </c>
      <c r="T31" s="1" t="s">
        <v>2744</v>
      </c>
      <c r="U31" s="1" t="s">
        <v>2744</v>
      </c>
      <c r="V31" s="1" t="s">
        <v>2744</v>
      </c>
      <c r="W31" s="1" t="s">
        <v>2744</v>
      </c>
      <c r="X31" s="1" t="s">
        <v>2744</v>
      </c>
      <c r="Y31" s="1" t="s">
        <v>2744</v>
      </c>
      <c r="Z31" s="1" t="s">
        <v>2744</v>
      </c>
      <c r="AA31" s="1" t="s">
        <v>2744</v>
      </c>
      <c r="AB31" s="1" t="s">
        <v>2744</v>
      </c>
      <c r="AC31" s="1" t="s">
        <v>2744</v>
      </c>
      <c r="AD31" s="1" t="s">
        <v>2744</v>
      </c>
    </row>
    <row r="32" spans="2:30" ht="56" x14ac:dyDescent="0.3">
      <c r="B32" s="19" t="s">
        <v>1053</v>
      </c>
      <c r="C32" s="17" t="s">
        <v>1054</v>
      </c>
      <c r="D32" s="16"/>
      <c r="E32" s="2"/>
      <c r="F32" s="2"/>
      <c r="G32" s="2"/>
      <c r="H32" s="3">
        <f>SUM(GMIC_22A_SCDPT2SN2!SCDPT2SN2_552BEGINNG_6:GMIC_22A_SCDPT2SN2!SCDPT2SN2_552ENDINGG_6)</f>
        <v>0</v>
      </c>
      <c r="I32" s="2"/>
      <c r="J32" s="3">
        <f>SUM(GMIC_22A_SCDPT2SN2!SCDPT2SN2_552BEGINNG_8:GMIC_22A_SCDPT2SN2!SCDPT2SN2_552ENDINGG_8)</f>
        <v>0</v>
      </c>
      <c r="K32" s="3">
        <f>SUM(GMIC_22A_SCDPT2SN2!SCDPT2SN2_552BEGINNG_9:GMIC_22A_SCDPT2SN2!SCDPT2SN2_552ENDINGG_9)</f>
        <v>0</v>
      </c>
      <c r="L32" s="3">
        <f>SUM(GMIC_22A_SCDPT2SN2!SCDPT2SN2_552BEGINNG_10:GMIC_22A_SCDPT2SN2!SCDPT2SN2_552ENDINGG_10)</f>
        <v>0</v>
      </c>
      <c r="M32" s="3">
        <f>SUM(GMIC_22A_SCDPT2SN2!SCDPT2SN2_552BEGINNG_11:GMIC_22A_SCDPT2SN2!SCDPT2SN2_552ENDINGG_11)</f>
        <v>0</v>
      </c>
      <c r="N32" s="3">
        <f>SUM(GMIC_22A_SCDPT2SN2!SCDPT2SN2_552BEGINNG_12:GMIC_22A_SCDPT2SN2!SCDPT2SN2_552ENDINGG_12)</f>
        <v>0</v>
      </c>
      <c r="O32" s="3">
        <f>SUM(GMIC_22A_SCDPT2SN2!SCDPT2SN2_552BEGINNG_13:GMIC_22A_SCDPT2SN2!SCDPT2SN2_552ENDINGG_13)</f>
        <v>0</v>
      </c>
      <c r="P32" s="3">
        <f>SUM(GMIC_22A_SCDPT2SN2!SCDPT2SN2_552BEGINNG_14:GMIC_22A_SCDPT2SN2!SCDPT2SN2_552ENDINGG_14)</f>
        <v>0</v>
      </c>
      <c r="Q32" s="3">
        <f>SUM(GMIC_22A_SCDPT2SN2!SCDPT2SN2_552BEGINNG_15:GMIC_22A_SCDPT2SN2!SCDPT2SN2_552ENDINGG_15)</f>
        <v>0</v>
      </c>
      <c r="R32" s="3">
        <f>SUM(GMIC_22A_SCDPT2SN2!SCDPT2SN2_552BEGINNG_16:GMIC_22A_SCDPT2SN2!SCDPT2SN2_552ENDINGG_16)</f>
        <v>0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2:30" ht="28" x14ac:dyDescent="0.3">
      <c r="B33" s="19" t="s">
        <v>2975</v>
      </c>
      <c r="C33" s="17" t="s">
        <v>1345</v>
      </c>
      <c r="D33" s="16"/>
      <c r="E33" s="2"/>
      <c r="F33" s="2"/>
      <c r="G33" s="2"/>
      <c r="H33" s="3">
        <f>GMIC_22A_SCDPT2SN2!SCDPT2SN2_5519999999_6+GMIC_22A_SCDPT2SN2!SCDPT2SN2_5529999999_6</f>
        <v>0</v>
      </c>
      <c r="I33" s="2"/>
      <c r="J33" s="3">
        <f>GMIC_22A_SCDPT2SN2!SCDPT2SN2_5519999999_8+GMIC_22A_SCDPT2SN2!SCDPT2SN2_5529999999_8</f>
        <v>0</v>
      </c>
      <c r="K33" s="3">
        <f>GMIC_22A_SCDPT2SN2!SCDPT2SN2_5519999999_9+GMIC_22A_SCDPT2SN2!SCDPT2SN2_5529999999_9</f>
        <v>0</v>
      </c>
      <c r="L33" s="3">
        <f>GMIC_22A_SCDPT2SN2!SCDPT2SN2_5519999999_10+GMIC_22A_SCDPT2SN2!SCDPT2SN2_5529999999_10</f>
        <v>0</v>
      </c>
      <c r="M33" s="3">
        <f>GMIC_22A_SCDPT2SN2!SCDPT2SN2_5519999999_11+GMIC_22A_SCDPT2SN2!SCDPT2SN2_5529999999_11</f>
        <v>0</v>
      </c>
      <c r="N33" s="3">
        <f>GMIC_22A_SCDPT2SN2!SCDPT2SN2_5519999999_12+GMIC_22A_SCDPT2SN2!SCDPT2SN2_5529999999_12</f>
        <v>0</v>
      </c>
      <c r="O33" s="3">
        <f>GMIC_22A_SCDPT2SN2!SCDPT2SN2_5519999999_13+GMIC_22A_SCDPT2SN2!SCDPT2SN2_5529999999_13</f>
        <v>0</v>
      </c>
      <c r="P33" s="3">
        <f>GMIC_22A_SCDPT2SN2!SCDPT2SN2_5519999999_14+GMIC_22A_SCDPT2SN2!SCDPT2SN2_5529999999_14</f>
        <v>0</v>
      </c>
      <c r="Q33" s="3">
        <f>GMIC_22A_SCDPT2SN2!SCDPT2SN2_5519999999_15+GMIC_22A_SCDPT2SN2!SCDPT2SN2_5529999999_15</f>
        <v>0</v>
      </c>
      <c r="R33" s="3">
        <f>GMIC_22A_SCDPT2SN2!SCDPT2SN2_5519999999_16+GMIC_22A_SCDPT2SN2!SCDPT2SN2_5529999999_16</f>
        <v>0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2:30" x14ac:dyDescent="0.3">
      <c r="B34" s="7" t="s">
        <v>2744</v>
      </c>
      <c r="C34" s="1" t="s">
        <v>2744</v>
      </c>
      <c r="D34" s="8" t="s">
        <v>2744</v>
      </c>
      <c r="E34" s="1" t="s">
        <v>2744</v>
      </c>
      <c r="F34" s="1" t="s">
        <v>2744</v>
      </c>
      <c r="G34" s="1" t="s">
        <v>2744</v>
      </c>
      <c r="H34" s="1" t="s">
        <v>2744</v>
      </c>
      <c r="I34" s="1" t="s">
        <v>2744</v>
      </c>
      <c r="J34" s="1" t="s">
        <v>2744</v>
      </c>
      <c r="K34" s="1" t="s">
        <v>2744</v>
      </c>
      <c r="L34" s="1" t="s">
        <v>2744</v>
      </c>
      <c r="M34" s="1" t="s">
        <v>2744</v>
      </c>
      <c r="N34" s="1" t="s">
        <v>2744</v>
      </c>
      <c r="O34" s="1" t="s">
        <v>2744</v>
      </c>
      <c r="P34" s="1" t="s">
        <v>2744</v>
      </c>
      <c r="Q34" s="1" t="s">
        <v>2744</v>
      </c>
      <c r="R34" s="1" t="s">
        <v>2744</v>
      </c>
      <c r="S34" s="1" t="s">
        <v>2744</v>
      </c>
      <c r="T34" s="1" t="s">
        <v>2744</v>
      </c>
      <c r="U34" s="1" t="s">
        <v>2744</v>
      </c>
      <c r="V34" s="1" t="s">
        <v>2744</v>
      </c>
      <c r="W34" s="1" t="s">
        <v>2744</v>
      </c>
      <c r="X34" s="1" t="s">
        <v>2744</v>
      </c>
      <c r="Y34" s="1" t="s">
        <v>2744</v>
      </c>
      <c r="Z34" s="1" t="s">
        <v>2744</v>
      </c>
      <c r="AA34" s="1" t="s">
        <v>2744</v>
      </c>
      <c r="AB34" s="1" t="s">
        <v>2744</v>
      </c>
      <c r="AC34" s="1" t="s">
        <v>2744</v>
      </c>
      <c r="AD34" s="1" t="s">
        <v>2744</v>
      </c>
    </row>
    <row r="35" spans="2:30" x14ac:dyDescent="0.3">
      <c r="B35" s="18" t="s">
        <v>1346</v>
      </c>
      <c r="C35" s="25" t="s">
        <v>3897</v>
      </c>
      <c r="D35" s="15" t="s">
        <v>2</v>
      </c>
      <c r="E35" s="53" t="s">
        <v>2</v>
      </c>
      <c r="F35" s="20" t="s">
        <v>2</v>
      </c>
      <c r="G35" s="28"/>
      <c r="H35" s="4"/>
      <c r="I35" s="23"/>
      <c r="J35" s="4"/>
      <c r="K35" s="4"/>
      <c r="L35" s="4"/>
      <c r="M35" s="4"/>
      <c r="N35" s="4"/>
      <c r="O35" s="4"/>
      <c r="P35" s="4"/>
      <c r="Q35" s="24"/>
      <c r="R35" s="4"/>
      <c r="S35" s="6"/>
      <c r="T35" s="32" t="s">
        <v>2</v>
      </c>
      <c r="U35" s="33" t="s">
        <v>2</v>
      </c>
      <c r="V35" s="66" t="s">
        <v>2</v>
      </c>
      <c r="W35" s="31" t="s">
        <v>2</v>
      </c>
      <c r="X35" s="5" t="s">
        <v>2</v>
      </c>
      <c r="Y35" s="5" t="s">
        <v>2</v>
      </c>
      <c r="Z35" s="5" t="s">
        <v>2</v>
      </c>
      <c r="AA35" s="5" t="s">
        <v>2</v>
      </c>
      <c r="AB35" s="21" t="s">
        <v>2</v>
      </c>
      <c r="AC35" s="26" t="s">
        <v>2</v>
      </c>
      <c r="AD35" s="34" t="s">
        <v>2</v>
      </c>
    </row>
    <row r="36" spans="2:30" x14ac:dyDescent="0.3">
      <c r="B36" s="7" t="s">
        <v>2744</v>
      </c>
      <c r="C36" s="1" t="s">
        <v>2744</v>
      </c>
      <c r="D36" s="8" t="s">
        <v>2744</v>
      </c>
      <c r="E36" s="1" t="s">
        <v>2744</v>
      </c>
      <c r="F36" s="1" t="s">
        <v>2744</v>
      </c>
      <c r="G36" s="1" t="s">
        <v>2744</v>
      </c>
      <c r="H36" s="1" t="s">
        <v>2744</v>
      </c>
      <c r="I36" s="1" t="s">
        <v>2744</v>
      </c>
      <c r="J36" s="1" t="s">
        <v>2744</v>
      </c>
      <c r="K36" s="1" t="s">
        <v>2744</v>
      </c>
      <c r="L36" s="1" t="s">
        <v>2744</v>
      </c>
      <c r="M36" s="1" t="s">
        <v>2744</v>
      </c>
      <c r="N36" s="1" t="s">
        <v>2744</v>
      </c>
      <c r="O36" s="1" t="s">
        <v>2744</v>
      </c>
      <c r="P36" s="1" t="s">
        <v>2744</v>
      </c>
      <c r="Q36" s="1" t="s">
        <v>2744</v>
      </c>
      <c r="R36" s="1" t="s">
        <v>2744</v>
      </c>
      <c r="S36" s="1" t="s">
        <v>2744</v>
      </c>
      <c r="T36" s="1" t="s">
        <v>2744</v>
      </c>
      <c r="U36" s="1" t="s">
        <v>2744</v>
      </c>
      <c r="V36" s="1" t="s">
        <v>2744</v>
      </c>
      <c r="W36" s="1" t="s">
        <v>2744</v>
      </c>
      <c r="X36" s="1" t="s">
        <v>2744</v>
      </c>
      <c r="Y36" s="1" t="s">
        <v>2744</v>
      </c>
      <c r="Z36" s="1" t="s">
        <v>2744</v>
      </c>
      <c r="AA36" s="1" t="s">
        <v>2744</v>
      </c>
      <c r="AB36" s="1" t="s">
        <v>2744</v>
      </c>
      <c r="AC36" s="1" t="s">
        <v>2744</v>
      </c>
      <c r="AD36" s="1" t="s">
        <v>2744</v>
      </c>
    </row>
    <row r="37" spans="2:30" ht="56" x14ac:dyDescent="0.3">
      <c r="B37" s="19" t="s">
        <v>2474</v>
      </c>
      <c r="C37" s="17" t="s">
        <v>2690</v>
      </c>
      <c r="D37" s="16"/>
      <c r="E37" s="2"/>
      <c r="F37" s="2"/>
      <c r="G37" s="2"/>
      <c r="H37" s="3">
        <f>SUM(GMIC_22A_SCDPT2SN2!SCDPT2SN2_571BEGINNG_6:GMIC_22A_SCDPT2SN2!SCDPT2SN2_571ENDINGG_6)</f>
        <v>0</v>
      </c>
      <c r="I37" s="2"/>
      <c r="J37" s="3">
        <f>SUM(GMIC_22A_SCDPT2SN2!SCDPT2SN2_571BEGINNG_8:GMIC_22A_SCDPT2SN2!SCDPT2SN2_571ENDINGG_8)</f>
        <v>0</v>
      </c>
      <c r="K37" s="3">
        <f>SUM(GMIC_22A_SCDPT2SN2!SCDPT2SN2_571BEGINNG_9:GMIC_22A_SCDPT2SN2!SCDPT2SN2_571ENDINGG_9)</f>
        <v>0</v>
      </c>
      <c r="L37" s="3">
        <f>SUM(GMIC_22A_SCDPT2SN2!SCDPT2SN2_571BEGINNG_10:GMIC_22A_SCDPT2SN2!SCDPT2SN2_571ENDINGG_10)</f>
        <v>0</v>
      </c>
      <c r="M37" s="3">
        <f>SUM(GMIC_22A_SCDPT2SN2!SCDPT2SN2_571BEGINNG_11:GMIC_22A_SCDPT2SN2!SCDPT2SN2_571ENDINGG_11)</f>
        <v>0</v>
      </c>
      <c r="N37" s="3">
        <f>SUM(GMIC_22A_SCDPT2SN2!SCDPT2SN2_571BEGINNG_12:GMIC_22A_SCDPT2SN2!SCDPT2SN2_571ENDINGG_12)</f>
        <v>0</v>
      </c>
      <c r="O37" s="3">
        <f>SUM(GMIC_22A_SCDPT2SN2!SCDPT2SN2_571BEGINNG_13:GMIC_22A_SCDPT2SN2!SCDPT2SN2_571ENDINGG_13)</f>
        <v>0</v>
      </c>
      <c r="P37" s="3">
        <f>SUM(GMIC_22A_SCDPT2SN2!SCDPT2SN2_571BEGINNG_14:GMIC_22A_SCDPT2SN2!SCDPT2SN2_571ENDINGG_14)</f>
        <v>0</v>
      </c>
      <c r="Q37" s="3">
        <f>SUM(GMIC_22A_SCDPT2SN2!SCDPT2SN2_571BEGINNG_15:GMIC_22A_SCDPT2SN2!SCDPT2SN2_571ENDINGG_15)</f>
        <v>0</v>
      </c>
      <c r="R37" s="3">
        <f>SUM(GMIC_22A_SCDPT2SN2!SCDPT2SN2_571BEGINNG_16:GMIC_22A_SCDPT2SN2!SCDPT2SN2_571ENDINGG_16)</f>
        <v>0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2:30" x14ac:dyDescent="0.3">
      <c r="B38" s="7" t="s">
        <v>2744</v>
      </c>
      <c r="C38" s="1" t="s">
        <v>2744</v>
      </c>
      <c r="D38" s="8" t="s">
        <v>2744</v>
      </c>
      <c r="E38" s="1" t="s">
        <v>2744</v>
      </c>
      <c r="F38" s="1" t="s">
        <v>2744</v>
      </c>
      <c r="G38" s="1" t="s">
        <v>2744</v>
      </c>
      <c r="H38" s="1" t="s">
        <v>2744</v>
      </c>
      <c r="I38" s="1" t="s">
        <v>2744</v>
      </c>
      <c r="J38" s="1" t="s">
        <v>2744</v>
      </c>
      <c r="K38" s="1" t="s">
        <v>2744</v>
      </c>
      <c r="L38" s="1" t="s">
        <v>2744</v>
      </c>
      <c r="M38" s="1" t="s">
        <v>2744</v>
      </c>
      <c r="N38" s="1" t="s">
        <v>2744</v>
      </c>
      <c r="O38" s="1" t="s">
        <v>2744</v>
      </c>
      <c r="P38" s="1" t="s">
        <v>2744</v>
      </c>
      <c r="Q38" s="1" t="s">
        <v>2744</v>
      </c>
      <c r="R38" s="1" t="s">
        <v>2744</v>
      </c>
      <c r="S38" s="1" t="s">
        <v>2744</v>
      </c>
      <c r="T38" s="1" t="s">
        <v>2744</v>
      </c>
      <c r="U38" s="1" t="s">
        <v>2744</v>
      </c>
      <c r="V38" s="1" t="s">
        <v>2744</v>
      </c>
      <c r="W38" s="1" t="s">
        <v>2744</v>
      </c>
      <c r="X38" s="1" t="s">
        <v>2744</v>
      </c>
      <c r="Y38" s="1" t="s">
        <v>2744</v>
      </c>
      <c r="Z38" s="1" t="s">
        <v>2744</v>
      </c>
      <c r="AA38" s="1" t="s">
        <v>2744</v>
      </c>
      <c r="AB38" s="1" t="s">
        <v>2744</v>
      </c>
      <c r="AC38" s="1" t="s">
        <v>2744</v>
      </c>
      <c r="AD38" s="1" t="s">
        <v>2744</v>
      </c>
    </row>
    <row r="39" spans="2:30" x14ac:dyDescent="0.3">
      <c r="B39" s="18" t="s">
        <v>455</v>
      </c>
      <c r="C39" s="25" t="s">
        <v>3897</v>
      </c>
      <c r="D39" s="15" t="s">
        <v>2</v>
      </c>
      <c r="E39" s="53" t="s">
        <v>2</v>
      </c>
      <c r="F39" s="20" t="s">
        <v>2</v>
      </c>
      <c r="G39" s="28"/>
      <c r="H39" s="4"/>
      <c r="I39" s="23"/>
      <c r="J39" s="4"/>
      <c r="K39" s="4"/>
      <c r="L39" s="4"/>
      <c r="M39" s="4"/>
      <c r="N39" s="4"/>
      <c r="O39" s="4"/>
      <c r="P39" s="4"/>
      <c r="Q39" s="24"/>
      <c r="R39" s="4"/>
      <c r="S39" s="6"/>
      <c r="T39" s="32" t="s">
        <v>2</v>
      </c>
      <c r="U39" s="33" t="s">
        <v>2</v>
      </c>
      <c r="V39" s="66" t="s">
        <v>2</v>
      </c>
      <c r="W39" s="31" t="s">
        <v>2</v>
      </c>
      <c r="X39" s="5" t="s">
        <v>2</v>
      </c>
      <c r="Y39" s="5" t="s">
        <v>2</v>
      </c>
      <c r="Z39" s="5" t="s">
        <v>2</v>
      </c>
      <c r="AA39" s="5" t="s">
        <v>2</v>
      </c>
      <c r="AB39" s="21" t="s">
        <v>2</v>
      </c>
      <c r="AC39" s="26" t="s">
        <v>2</v>
      </c>
      <c r="AD39" s="34" t="s">
        <v>2</v>
      </c>
    </row>
    <row r="40" spans="2:30" x14ac:dyDescent="0.3">
      <c r="B40" s="7" t="s">
        <v>2744</v>
      </c>
      <c r="C40" s="1" t="s">
        <v>2744</v>
      </c>
      <c r="D40" s="8" t="s">
        <v>2744</v>
      </c>
      <c r="E40" s="1" t="s">
        <v>2744</v>
      </c>
      <c r="F40" s="1" t="s">
        <v>2744</v>
      </c>
      <c r="G40" s="1" t="s">
        <v>2744</v>
      </c>
      <c r="H40" s="1" t="s">
        <v>2744</v>
      </c>
      <c r="I40" s="1" t="s">
        <v>2744</v>
      </c>
      <c r="J40" s="1" t="s">
        <v>2744</v>
      </c>
      <c r="K40" s="1" t="s">
        <v>2744</v>
      </c>
      <c r="L40" s="1" t="s">
        <v>2744</v>
      </c>
      <c r="M40" s="1" t="s">
        <v>2744</v>
      </c>
      <c r="N40" s="1" t="s">
        <v>2744</v>
      </c>
      <c r="O40" s="1" t="s">
        <v>2744</v>
      </c>
      <c r="P40" s="1" t="s">
        <v>2744</v>
      </c>
      <c r="Q40" s="1" t="s">
        <v>2744</v>
      </c>
      <c r="R40" s="1" t="s">
        <v>2744</v>
      </c>
      <c r="S40" s="1" t="s">
        <v>2744</v>
      </c>
      <c r="T40" s="1" t="s">
        <v>2744</v>
      </c>
      <c r="U40" s="1" t="s">
        <v>2744</v>
      </c>
      <c r="V40" s="1" t="s">
        <v>2744</v>
      </c>
      <c r="W40" s="1" t="s">
        <v>2744</v>
      </c>
      <c r="X40" s="1" t="s">
        <v>2744</v>
      </c>
      <c r="Y40" s="1" t="s">
        <v>2744</v>
      </c>
      <c r="Z40" s="1" t="s">
        <v>2744</v>
      </c>
      <c r="AA40" s="1" t="s">
        <v>2744</v>
      </c>
      <c r="AB40" s="1" t="s">
        <v>2744</v>
      </c>
      <c r="AC40" s="1" t="s">
        <v>2744</v>
      </c>
      <c r="AD40" s="1" t="s">
        <v>2744</v>
      </c>
    </row>
    <row r="41" spans="2:30" ht="56" x14ac:dyDescent="0.3">
      <c r="B41" s="19" t="s">
        <v>1575</v>
      </c>
      <c r="C41" s="17" t="s">
        <v>3600</v>
      </c>
      <c r="D41" s="16"/>
      <c r="E41" s="2"/>
      <c r="F41" s="2"/>
      <c r="G41" s="2"/>
      <c r="H41" s="3">
        <f>SUM(GMIC_22A_SCDPT2SN2!SCDPT2SN2_572BEGINNG_6:GMIC_22A_SCDPT2SN2!SCDPT2SN2_572ENDINGG_6)</f>
        <v>0</v>
      </c>
      <c r="I41" s="2"/>
      <c r="J41" s="3">
        <f>SUM(GMIC_22A_SCDPT2SN2!SCDPT2SN2_572BEGINNG_8:GMIC_22A_SCDPT2SN2!SCDPT2SN2_572ENDINGG_8)</f>
        <v>0</v>
      </c>
      <c r="K41" s="3">
        <f>SUM(GMIC_22A_SCDPT2SN2!SCDPT2SN2_572BEGINNG_9:GMIC_22A_SCDPT2SN2!SCDPT2SN2_572ENDINGG_9)</f>
        <v>0</v>
      </c>
      <c r="L41" s="3">
        <f>SUM(GMIC_22A_SCDPT2SN2!SCDPT2SN2_572BEGINNG_10:GMIC_22A_SCDPT2SN2!SCDPT2SN2_572ENDINGG_10)</f>
        <v>0</v>
      </c>
      <c r="M41" s="3">
        <f>SUM(GMIC_22A_SCDPT2SN2!SCDPT2SN2_572BEGINNG_11:GMIC_22A_SCDPT2SN2!SCDPT2SN2_572ENDINGG_11)</f>
        <v>0</v>
      </c>
      <c r="N41" s="3">
        <f>SUM(GMIC_22A_SCDPT2SN2!SCDPT2SN2_572BEGINNG_12:GMIC_22A_SCDPT2SN2!SCDPT2SN2_572ENDINGG_12)</f>
        <v>0</v>
      </c>
      <c r="O41" s="3">
        <f>SUM(GMIC_22A_SCDPT2SN2!SCDPT2SN2_572BEGINNG_13:GMIC_22A_SCDPT2SN2!SCDPT2SN2_572ENDINGG_13)</f>
        <v>0</v>
      </c>
      <c r="P41" s="3">
        <f>SUM(GMIC_22A_SCDPT2SN2!SCDPT2SN2_572BEGINNG_14:GMIC_22A_SCDPT2SN2!SCDPT2SN2_572ENDINGG_14)</f>
        <v>0</v>
      </c>
      <c r="Q41" s="3">
        <f>SUM(GMIC_22A_SCDPT2SN2!SCDPT2SN2_572BEGINNG_15:GMIC_22A_SCDPT2SN2!SCDPT2SN2_572ENDINGG_15)</f>
        <v>0</v>
      </c>
      <c r="R41" s="3">
        <f>SUM(GMIC_22A_SCDPT2SN2!SCDPT2SN2_572BEGINNG_16:GMIC_22A_SCDPT2SN2!SCDPT2SN2_572ENDINGG_16)</f>
        <v>0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2:30" ht="28" x14ac:dyDescent="0.3">
      <c r="B42" s="19" t="s">
        <v>3601</v>
      </c>
      <c r="C42" s="17" t="s">
        <v>1576</v>
      </c>
      <c r="D42" s="16"/>
      <c r="E42" s="2"/>
      <c r="F42" s="2"/>
      <c r="G42" s="2"/>
      <c r="H42" s="3">
        <f>GMIC_22A_SCDPT2SN2!SCDPT2SN2_5719999999_6+GMIC_22A_SCDPT2SN2!SCDPT2SN2_5729999999_6</f>
        <v>0</v>
      </c>
      <c r="I42" s="2"/>
      <c r="J42" s="3">
        <f>GMIC_22A_SCDPT2SN2!SCDPT2SN2_5719999999_8+GMIC_22A_SCDPT2SN2!SCDPT2SN2_5729999999_8</f>
        <v>0</v>
      </c>
      <c r="K42" s="3">
        <f>GMIC_22A_SCDPT2SN2!SCDPT2SN2_5719999999_9+GMIC_22A_SCDPT2SN2!SCDPT2SN2_5729999999_9</f>
        <v>0</v>
      </c>
      <c r="L42" s="3">
        <f>GMIC_22A_SCDPT2SN2!SCDPT2SN2_5719999999_10+GMIC_22A_SCDPT2SN2!SCDPT2SN2_5729999999_10</f>
        <v>0</v>
      </c>
      <c r="M42" s="3">
        <f>GMIC_22A_SCDPT2SN2!SCDPT2SN2_5719999999_11+GMIC_22A_SCDPT2SN2!SCDPT2SN2_5729999999_11</f>
        <v>0</v>
      </c>
      <c r="N42" s="3">
        <f>GMIC_22A_SCDPT2SN2!SCDPT2SN2_5719999999_12+GMIC_22A_SCDPT2SN2!SCDPT2SN2_5729999999_12</f>
        <v>0</v>
      </c>
      <c r="O42" s="3">
        <f>GMIC_22A_SCDPT2SN2!SCDPT2SN2_5719999999_13+GMIC_22A_SCDPT2SN2!SCDPT2SN2_5729999999_13</f>
        <v>0</v>
      </c>
      <c r="P42" s="3">
        <f>GMIC_22A_SCDPT2SN2!SCDPT2SN2_5719999999_14+GMIC_22A_SCDPT2SN2!SCDPT2SN2_5729999999_14</f>
        <v>0</v>
      </c>
      <c r="Q42" s="3">
        <f>GMIC_22A_SCDPT2SN2!SCDPT2SN2_5719999999_15+GMIC_22A_SCDPT2SN2!SCDPT2SN2_5729999999_15</f>
        <v>0</v>
      </c>
      <c r="R42" s="3">
        <f>GMIC_22A_SCDPT2SN2!SCDPT2SN2_5719999999_16+GMIC_22A_SCDPT2SN2!SCDPT2SN2_5729999999_16</f>
        <v>0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2:30" x14ac:dyDescent="0.3">
      <c r="B43" s="7" t="s">
        <v>2744</v>
      </c>
      <c r="C43" s="1" t="s">
        <v>2744</v>
      </c>
      <c r="D43" s="8" t="s">
        <v>2744</v>
      </c>
      <c r="E43" s="1" t="s">
        <v>2744</v>
      </c>
      <c r="F43" s="1" t="s">
        <v>2744</v>
      </c>
      <c r="G43" s="1" t="s">
        <v>2744</v>
      </c>
      <c r="H43" s="1" t="s">
        <v>2744</v>
      </c>
      <c r="I43" s="1" t="s">
        <v>2744</v>
      </c>
      <c r="J43" s="1" t="s">
        <v>2744</v>
      </c>
      <c r="K43" s="1" t="s">
        <v>2744</v>
      </c>
      <c r="L43" s="1" t="s">
        <v>2744</v>
      </c>
      <c r="M43" s="1" t="s">
        <v>2744</v>
      </c>
      <c r="N43" s="1" t="s">
        <v>2744</v>
      </c>
      <c r="O43" s="1" t="s">
        <v>2744</v>
      </c>
      <c r="P43" s="1" t="s">
        <v>2744</v>
      </c>
      <c r="Q43" s="1" t="s">
        <v>2744</v>
      </c>
      <c r="R43" s="1" t="s">
        <v>2744</v>
      </c>
      <c r="S43" s="1" t="s">
        <v>2744</v>
      </c>
      <c r="T43" s="1" t="s">
        <v>2744</v>
      </c>
      <c r="U43" s="1" t="s">
        <v>2744</v>
      </c>
      <c r="V43" s="1" t="s">
        <v>2744</v>
      </c>
      <c r="W43" s="1" t="s">
        <v>2744</v>
      </c>
      <c r="X43" s="1" t="s">
        <v>2744</v>
      </c>
      <c r="Y43" s="1" t="s">
        <v>2744</v>
      </c>
      <c r="Z43" s="1" t="s">
        <v>2744</v>
      </c>
      <c r="AA43" s="1" t="s">
        <v>2744</v>
      </c>
      <c r="AB43" s="1" t="s">
        <v>2744</v>
      </c>
      <c r="AC43" s="1" t="s">
        <v>2744</v>
      </c>
      <c r="AD43" s="1" t="s">
        <v>2744</v>
      </c>
    </row>
    <row r="44" spans="2:30" x14ac:dyDescent="0.3">
      <c r="B44" s="18" t="s">
        <v>1577</v>
      </c>
      <c r="C44" s="25" t="s">
        <v>3897</v>
      </c>
      <c r="D44" s="15" t="s">
        <v>2</v>
      </c>
      <c r="E44" s="53" t="s">
        <v>2</v>
      </c>
      <c r="F44" s="20" t="s">
        <v>2</v>
      </c>
      <c r="G44" s="28"/>
      <c r="H44" s="4"/>
      <c r="I44" s="23"/>
      <c r="J44" s="4"/>
      <c r="K44" s="4"/>
      <c r="L44" s="4"/>
      <c r="M44" s="4"/>
      <c r="N44" s="4"/>
      <c r="O44" s="4"/>
      <c r="P44" s="4"/>
      <c r="Q44" s="24"/>
      <c r="R44" s="4"/>
      <c r="S44" s="6"/>
      <c r="T44" s="32" t="s">
        <v>2</v>
      </c>
      <c r="U44" s="33" t="s">
        <v>2</v>
      </c>
      <c r="V44" s="66" t="s">
        <v>2</v>
      </c>
      <c r="W44" s="31" t="s">
        <v>2</v>
      </c>
      <c r="X44" s="5" t="s">
        <v>2</v>
      </c>
      <c r="Y44" s="5" t="s">
        <v>2</v>
      </c>
      <c r="Z44" s="5" t="s">
        <v>2</v>
      </c>
      <c r="AA44" s="5" t="s">
        <v>2</v>
      </c>
      <c r="AB44" s="21" t="s">
        <v>2</v>
      </c>
      <c r="AC44" s="26" t="s">
        <v>2</v>
      </c>
      <c r="AD44" s="34" t="s">
        <v>2</v>
      </c>
    </row>
    <row r="45" spans="2:30" x14ac:dyDescent="0.3">
      <c r="B45" s="7" t="s">
        <v>2744</v>
      </c>
      <c r="C45" s="1" t="s">
        <v>2744</v>
      </c>
      <c r="D45" s="8" t="s">
        <v>2744</v>
      </c>
      <c r="E45" s="1" t="s">
        <v>2744</v>
      </c>
      <c r="F45" s="1" t="s">
        <v>2744</v>
      </c>
      <c r="G45" s="1" t="s">
        <v>2744</v>
      </c>
      <c r="H45" s="1" t="s">
        <v>2744</v>
      </c>
      <c r="I45" s="1" t="s">
        <v>2744</v>
      </c>
      <c r="J45" s="1" t="s">
        <v>2744</v>
      </c>
      <c r="K45" s="1" t="s">
        <v>2744</v>
      </c>
      <c r="L45" s="1" t="s">
        <v>2744</v>
      </c>
      <c r="M45" s="1" t="s">
        <v>2744</v>
      </c>
      <c r="N45" s="1" t="s">
        <v>2744</v>
      </c>
      <c r="O45" s="1" t="s">
        <v>2744</v>
      </c>
      <c r="P45" s="1" t="s">
        <v>2744</v>
      </c>
      <c r="Q45" s="1" t="s">
        <v>2744</v>
      </c>
      <c r="R45" s="1" t="s">
        <v>2744</v>
      </c>
      <c r="S45" s="1" t="s">
        <v>2744</v>
      </c>
      <c r="T45" s="1" t="s">
        <v>2744</v>
      </c>
      <c r="U45" s="1" t="s">
        <v>2744</v>
      </c>
      <c r="V45" s="1" t="s">
        <v>2744</v>
      </c>
      <c r="W45" s="1" t="s">
        <v>2744</v>
      </c>
      <c r="X45" s="1" t="s">
        <v>2744</v>
      </c>
      <c r="Y45" s="1" t="s">
        <v>2744</v>
      </c>
      <c r="Z45" s="1" t="s">
        <v>2744</v>
      </c>
      <c r="AA45" s="1" t="s">
        <v>2744</v>
      </c>
      <c r="AB45" s="1" t="s">
        <v>2744</v>
      </c>
      <c r="AC45" s="1" t="s">
        <v>2744</v>
      </c>
      <c r="AD45" s="1" t="s">
        <v>2744</v>
      </c>
    </row>
    <row r="46" spans="2:30" ht="28" x14ac:dyDescent="0.3">
      <c r="B46" s="19" t="s">
        <v>2691</v>
      </c>
      <c r="C46" s="17" t="s">
        <v>199</v>
      </c>
      <c r="D46" s="16"/>
      <c r="E46" s="2"/>
      <c r="F46" s="2"/>
      <c r="G46" s="2"/>
      <c r="H46" s="3">
        <f>SUM(GMIC_22A_SCDPT2SN2!SCDPT2SN2_581BEGINNG_6:GMIC_22A_SCDPT2SN2!SCDPT2SN2_581ENDINGG_6)</f>
        <v>0</v>
      </c>
      <c r="I46" s="2"/>
      <c r="J46" s="3">
        <f>SUM(GMIC_22A_SCDPT2SN2!SCDPT2SN2_581BEGINNG_8:GMIC_22A_SCDPT2SN2!SCDPT2SN2_581ENDINGG_8)</f>
        <v>0</v>
      </c>
      <c r="K46" s="3">
        <f>SUM(GMIC_22A_SCDPT2SN2!SCDPT2SN2_581BEGINNG_9:GMIC_22A_SCDPT2SN2!SCDPT2SN2_581ENDINGG_9)</f>
        <v>0</v>
      </c>
      <c r="L46" s="3">
        <f>SUM(GMIC_22A_SCDPT2SN2!SCDPT2SN2_581BEGINNG_10:GMIC_22A_SCDPT2SN2!SCDPT2SN2_581ENDINGG_10)</f>
        <v>0</v>
      </c>
      <c r="M46" s="3">
        <f>SUM(GMIC_22A_SCDPT2SN2!SCDPT2SN2_581BEGINNG_11:GMIC_22A_SCDPT2SN2!SCDPT2SN2_581ENDINGG_11)</f>
        <v>0</v>
      </c>
      <c r="N46" s="3">
        <f>SUM(GMIC_22A_SCDPT2SN2!SCDPT2SN2_581BEGINNG_12:GMIC_22A_SCDPT2SN2!SCDPT2SN2_581ENDINGG_12)</f>
        <v>0</v>
      </c>
      <c r="O46" s="3">
        <f>SUM(GMIC_22A_SCDPT2SN2!SCDPT2SN2_581BEGINNG_13:GMIC_22A_SCDPT2SN2!SCDPT2SN2_581ENDINGG_13)</f>
        <v>0</v>
      </c>
      <c r="P46" s="3">
        <f>SUM(GMIC_22A_SCDPT2SN2!SCDPT2SN2_581BEGINNG_14:GMIC_22A_SCDPT2SN2!SCDPT2SN2_581ENDINGG_14)</f>
        <v>0</v>
      </c>
      <c r="Q46" s="3">
        <f>SUM(GMIC_22A_SCDPT2SN2!SCDPT2SN2_581BEGINNG_15:GMIC_22A_SCDPT2SN2!SCDPT2SN2_581ENDINGG_15)</f>
        <v>0</v>
      </c>
      <c r="R46" s="3">
        <f>SUM(GMIC_22A_SCDPT2SN2!SCDPT2SN2_581BEGINNG_16:GMIC_22A_SCDPT2SN2!SCDPT2SN2_581ENDINGG_16)</f>
        <v>0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2:30" x14ac:dyDescent="0.3">
      <c r="B47" s="7" t="s">
        <v>2744</v>
      </c>
      <c r="C47" s="1" t="s">
        <v>2744</v>
      </c>
      <c r="D47" s="8" t="s">
        <v>2744</v>
      </c>
      <c r="E47" s="1" t="s">
        <v>2744</v>
      </c>
      <c r="F47" s="1" t="s">
        <v>2744</v>
      </c>
      <c r="G47" s="1" t="s">
        <v>2744</v>
      </c>
      <c r="H47" s="1" t="s">
        <v>2744</v>
      </c>
      <c r="I47" s="1" t="s">
        <v>2744</v>
      </c>
      <c r="J47" s="1" t="s">
        <v>2744</v>
      </c>
      <c r="K47" s="1" t="s">
        <v>2744</v>
      </c>
      <c r="L47" s="1" t="s">
        <v>2744</v>
      </c>
      <c r="M47" s="1" t="s">
        <v>2744</v>
      </c>
      <c r="N47" s="1" t="s">
        <v>2744</v>
      </c>
      <c r="O47" s="1" t="s">
        <v>2744</v>
      </c>
      <c r="P47" s="1" t="s">
        <v>2744</v>
      </c>
      <c r="Q47" s="1" t="s">
        <v>2744</v>
      </c>
      <c r="R47" s="1" t="s">
        <v>2744</v>
      </c>
      <c r="S47" s="1" t="s">
        <v>2744</v>
      </c>
      <c r="T47" s="1" t="s">
        <v>2744</v>
      </c>
      <c r="U47" s="1" t="s">
        <v>2744</v>
      </c>
      <c r="V47" s="1" t="s">
        <v>2744</v>
      </c>
      <c r="W47" s="1" t="s">
        <v>2744</v>
      </c>
      <c r="X47" s="1" t="s">
        <v>2744</v>
      </c>
      <c r="Y47" s="1" t="s">
        <v>2744</v>
      </c>
      <c r="Z47" s="1" t="s">
        <v>2744</v>
      </c>
      <c r="AA47" s="1" t="s">
        <v>2744</v>
      </c>
      <c r="AB47" s="1" t="s">
        <v>2744</v>
      </c>
      <c r="AC47" s="1" t="s">
        <v>2744</v>
      </c>
      <c r="AD47" s="1" t="s">
        <v>2744</v>
      </c>
    </row>
    <row r="48" spans="2:30" x14ac:dyDescent="0.3">
      <c r="B48" s="18" t="s">
        <v>1842</v>
      </c>
      <c r="C48" s="25" t="s">
        <v>3897</v>
      </c>
      <c r="D48" s="15" t="s">
        <v>2</v>
      </c>
      <c r="E48" s="53" t="s">
        <v>2</v>
      </c>
      <c r="F48" s="20" t="s">
        <v>2</v>
      </c>
      <c r="G48" s="28"/>
      <c r="H48" s="4"/>
      <c r="I48" s="23"/>
      <c r="J48" s="4"/>
      <c r="K48" s="4"/>
      <c r="L48" s="4"/>
      <c r="M48" s="4"/>
      <c r="N48" s="4"/>
      <c r="O48" s="4"/>
      <c r="P48" s="4"/>
      <c r="Q48" s="24"/>
      <c r="R48" s="4"/>
      <c r="S48" s="6"/>
      <c r="T48" s="2"/>
      <c r="U48" s="2"/>
      <c r="V48" s="2"/>
      <c r="W48" s="31" t="s">
        <v>2</v>
      </c>
      <c r="X48" s="5" t="s">
        <v>2</v>
      </c>
      <c r="Y48" s="5" t="s">
        <v>2</v>
      </c>
      <c r="Z48" s="5" t="s">
        <v>2</v>
      </c>
      <c r="AA48" s="5" t="s">
        <v>2</v>
      </c>
      <c r="AB48" s="21" t="s">
        <v>2</v>
      </c>
      <c r="AC48" s="26" t="s">
        <v>2</v>
      </c>
      <c r="AD48" s="2"/>
    </row>
    <row r="49" spans="2:30" x14ac:dyDescent="0.3">
      <c r="B49" s="7" t="s">
        <v>2744</v>
      </c>
      <c r="C49" s="1" t="s">
        <v>2744</v>
      </c>
      <c r="D49" s="8" t="s">
        <v>2744</v>
      </c>
      <c r="E49" s="1" t="s">
        <v>2744</v>
      </c>
      <c r="F49" s="1" t="s">
        <v>2744</v>
      </c>
      <c r="G49" s="1" t="s">
        <v>2744</v>
      </c>
      <c r="H49" s="1" t="s">
        <v>2744</v>
      </c>
      <c r="I49" s="1" t="s">
        <v>2744</v>
      </c>
      <c r="J49" s="1" t="s">
        <v>2744</v>
      </c>
      <c r="K49" s="1" t="s">
        <v>2744</v>
      </c>
      <c r="L49" s="1" t="s">
        <v>2744</v>
      </c>
      <c r="M49" s="1" t="s">
        <v>2744</v>
      </c>
      <c r="N49" s="1" t="s">
        <v>2744</v>
      </c>
      <c r="O49" s="1" t="s">
        <v>2744</v>
      </c>
      <c r="P49" s="1" t="s">
        <v>2744</v>
      </c>
      <c r="Q49" s="1" t="s">
        <v>2744</v>
      </c>
      <c r="R49" s="1" t="s">
        <v>2744</v>
      </c>
      <c r="S49" s="1" t="s">
        <v>2744</v>
      </c>
      <c r="T49" s="1" t="s">
        <v>2744</v>
      </c>
      <c r="U49" s="1" t="s">
        <v>2744</v>
      </c>
      <c r="V49" s="1" t="s">
        <v>2744</v>
      </c>
      <c r="W49" s="1" t="s">
        <v>2744</v>
      </c>
      <c r="X49" s="1" t="s">
        <v>2744</v>
      </c>
      <c r="Y49" s="1" t="s">
        <v>2744</v>
      </c>
      <c r="Z49" s="1" t="s">
        <v>2744</v>
      </c>
      <c r="AA49" s="1" t="s">
        <v>2744</v>
      </c>
      <c r="AB49" s="1" t="s">
        <v>2744</v>
      </c>
      <c r="AC49" s="1" t="s">
        <v>2744</v>
      </c>
      <c r="AD49" s="1" t="s">
        <v>2744</v>
      </c>
    </row>
    <row r="50" spans="2:30" ht="42" x14ac:dyDescent="0.3">
      <c r="B50" s="19" t="s">
        <v>2976</v>
      </c>
      <c r="C50" s="17" t="s">
        <v>456</v>
      </c>
      <c r="D50" s="16"/>
      <c r="E50" s="2"/>
      <c r="F50" s="2"/>
      <c r="G50" s="2"/>
      <c r="H50" s="3">
        <f>SUM(GMIC_22A_SCDPT2SN2!SCDPT2SN2_591BEGINNG_6:GMIC_22A_SCDPT2SN2!SCDPT2SN2_591ENDINGG_6)</f>
        <v>0</v>
      </c>
      <c r="I50" s="2"/>
      <c r="J50" s="3">
        <f>SUM(GMIC_22A_SCDPT2SN2!SCDPT2SN2_591BEGINNG_8:GMIC_22A_SCDPT2SN2!SCDPT2SN2_591ENDINGG_8)</f>
        <v>0</v>
      </c>
      <c r="K50" s="3">
        <f>SUM(GMIC_22A_SCDPT2SN2!SCDPT2SN2_591BEGINNG_9:GMIC_22A_SCDPT2SN2!SCDPT2SN2_591ENDINGG_9)</f>
        <v>0</v>
      </c>
      <c r="L50" s="3">
        <f>SUM(GMIC_22A_SCDPT2SN2!SCDPT2SN2_591BEGINNG_10:GMIC_22A_SCDPT2SN2!SCDPT2SN2_591ENDINGG_10)</f>
        <v>0</v>
      </c>
      <c r="M50" s="3">
        <f>SUM(GMIC_22A_SCDPT2SN2!SCDPT2SN2_591BEGINNG_11:GMIC_22A_SCDPT2SN2!SCDPT2SN2_591ENDINGG_11)</f>
        <v>0</v>
      </c>
      <c r="N50" s="3">
        <f>SUM(GMIC_22A_SCDPT2SN2!SCDPT2SN2_591BEGINNG_12:GMIC_22A_SCDPT2SN2!SCDPT2SN2_591ENDINGG_12)</f>
        <v>0</v>
      </c>
      <c r="O50" s="3">
        <f>SUM(GMIC_22A_SCDPT2SN2!SCDPT2SN2_591BEGINNG_13:GMIC_22A_SCDPT2SN2!SCDPT2SN2_591ENDINGG_13)</f>
        <v>0</v>
      </c>
      <c r="P50" s="3">
        <f>SUM(GMIC_22A_SCDPT2SN2!SCDPT2SN2_591BEGINNG_14:GMIC_22A_SCDPT2SN2!SCDPT2SN2_591ENDINGG_14)</f>
        <v>0</v>
      </c>
      <c r="Q50" s="3">
        <f>SUM(GMIC_22A_SCDPT2SN2!SCDPT2SN2_591BEGINNG_15:GMIC_22A_SCDPT2SN2!SCDPT2SN2_591ENDINGG_15)</f>
        <v>0</v>
      </c>
      <c r="R50" s="3">
        <f>SUM(GMIC_22A_SCDPT2SN2!SCDPT2SN2_591BEGINNG_16:GMIC_22A_SCDPT2SN2!SCDPT2SN2_591ENDINGG_16)</f>
        <v>0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2:30" x14ac:dyDescent="0.3">
      <c r="B51" s="7" t="s">
        <v>2744</v>
      </c>
      <c r="C51" s="1" t="s">
        <v>2744</v>
      </c>
      <c r="D51" s="8" t="s">
        <v>2744</v>
      </c>
      <c r="E51" s="1" t="s">
        <v>2744</v>
      </c>
      <c r="F51" s="1" t="s">
        <v>2744</v>
      </c>
      <c r="G51" s="1" t="s">
        <v>2744</v>
      </c>
      <c r="H51" s="1" t="s">
        <v>2744</v>
      </c>
      <c r="I51" s="1" t="s">
        <v>2744</v>
      </c>
      <c r="J51" s="1" t="s">
        <v>2744</v>
      </c>
      <c r="K51" s="1" t="s">
        <v>2744</v>
      </c>
      <c r="L51" s="1" t="s">
        <v>2744</v>
      </c>
      <c r="M51" s="1" t="s">
        <v>2744</v>
      </c>
      <c r="N51" s="1" t="s">
        <v>2744</v>
      </c>
      <c r="O51" s="1" t="s">
        <v>2744</v>
      </c>
      <c r="P51" s="1" t="s">
        <v>2744</v>
      </c>
      <c r="Q51" s="1" t="s">
        <v>2744</v>
      </c>
      <c r="R51" s="1" t="s">
        <v>2744</v>
      </c>
      <c r="S51" s="1" t="s">
        <v>2744</v>
      </c>
      <c r="T51" s="1" t="s">
        <v>2744</v>
      </c>
      <c r="U51" s="1" t="s">
        <v>2744</v>
      </c>
      <c r="V51" s="1" t="s">
        <v>2744</v>
      </c>
      <c r="W51" s="1" t="s">
        <v>2744</v>
      </c>
      <c r="X51" s="1" t="s">
        <v>2744</v>
      </c>
      <c r="Y51" s="1" t="s">
        <v>2744</v>
      </c>
      <c r="Z51" s="1" t="s">
        <v>2744</v>
      </c>
      <c r="AA51" s="1" t="s">
        <v>2744</v>
      </c>
      <c r="AB51" s="1" t="s">
        <v>2744</v>
      </c>
      <c r="AC51" s="1" t="s">
        <v>2744</v>
      </c>
      <c r="AD51" s="1" t="s">
        <v>2744</v>
      </c>
    </row>
    <row r="52" spans="2:30" x14ac:dyDescent="0.3">
      <c r="B52" s="18" t="s">
        <v>2172</v>
      </c>
      <c r="C52" s="47" t="s">
        <v>2173</v>
      </c>
      <c r="D52" s="15" t="s">
        <v>3847</v>
      </c>
      <c r="E52" s="53" t="s">
        <v>2</v>
      </c>
      <c r="F52" s="20" t="s">
        <v>2274</v>
      </c>
      <c r="G52" s="28">
        <v>80</v>
      </c>
      <c r="H52" s="4">
        <v>3000</v>
      </c>
      <c r="I52" s="23">
        <v>37.5</v>
      </c>
      <c r="J52" s="4">
        <v>3000</v>
      </c>
      <c r="K52" s="4">
        <v>3000</v>
      </c>
      <c r="L52" s="4"/>
      <c r="M52" s="4"/>
      <c r="N52" s="4"/>
      <c r="O52" s="4"/>
      <c r="P52" s="4"/>
      <c r="Q52" s="24">
        <v>0</v>
      </c>
      <c r="R52" s="4"/>
      <c r="S52" s="9">
        <v>39084</v>
      </c>
      <c r="T52" s="2"/>
      <c r="U52" s="2"/>
      <c r="V52" s="2"/>
      <c r="W52" s="31" t="s">
        <v>1671</v>
      </c>
      <c r="X52" s="5" t="s">
        <v>2</v>
      </c>
      <c r="Y52" s="5" t="s">
        <v>2</v>
      </c>
      <c r="Z52" s="5" t="s">
        <v>3847</v>
      </c>
      <c r="AA52" s="5" t="s">
        <v>2</v>
      </c>
      <c r="AB52" s="21" t="s">
        <v>2</v>
      </c>
      <c r="AC52" s="26" t="s">
        <v>2745</v>
      </c>
      <c r="AD52" s="2"/>
    </row>
    <row r="53" spans="2:30" x14ac:dyDescent="0.3">
      <c r="B53" s="7" t="s">
        <v>2744</v>
      </c>
      <c r="C53" s="1" t="s">
        <v>2744</v>
      </c>
      <c r="D53" s="8" t="s">
        <v>2744</v>
      </c>
      <c r="E53" s="1" t="s">
        <v>2744</v>
      </c>
      <c r="F53" s="1" t="s">
        <v>2744</v>
      </c>
      <c r="G53" s="1" t="s">
        <v>2744</v>
      </c>
      <c r="H53" s="1" t="s">
        <v>2744</v>
      </c>
      <c r="I53" s="1" t="s">
        <v>2744</v>
      </c>
      <c r="J53" s="1" t="s">
        <v>2744</v>
      </c>
      <c r="K53" s="1" t="s">
        <v>2744</v>
      </c>
      <c r="L53" s="1" t="s">
        <v>2744</v>
      </c>
      <c r="M53" s="1" t="s">
        <v>2744</v>
      </c>
      <c r="N53" s="1" t="s">
        <v>2744</v>
      </c>
      <c r="O53" s="1" t="s">
        <v>2744</v>
      </c>
      <c r="P53" s="1" t="s">
        <v>2744</v>
      </c>
      <c r="Q53" s="1" t="s">
        <v>2744</v>
      </c>
      <c r="R53" s="1" t="s">
        <v>2744</v>
      </c>
      <c r="S53" s="1" t="s">
        <v>2744</v>
      </c>
      <c r="T53" s="1" t="s">
        <v>2744</v>
      </c>
      <c r="U53" s="1" t="s">
        <v>2744</v>
      </c>
      <c r="V53" s="1" t="s">
        <v>2744</v>
      </c>
      <c r="W53" s="1" t="s">
        <v>2744</v>
      </c>
      <c r="X53" s="1" t="s">
        <v>2744</v>
      </c>
      <c r="Y53" s="1" t="s">
        <v>2744</v>
      </c>
      <c r="Z53" s="1" t="s">
        <v>2744</v>
      </c>
      <c r="AA53" s="1" t="s">
        <v>2744</v>
      </c>
      <c r="AB53" s="1" t="s">
        <v>2744</v>
      </c>
      <c r="AC53" s="1" t="s">
        <v>2744</v>
      </c>
      <c r="AD53" s="1" t="s">
        <v>2744</v>
      </c>
    </row>
    <row r="54" spans="2:30" ht="42" x14ac:dyDescent="0.3">
      <c r="B54" s="19" t="s">
        <v>2174</v>
      </c>
      <c r="C54" s="17" t="s">
        <v>1578</v>
      </c>
      <c r="D54" s="16"/>
      <c r="E54" s="2"/>
      <c r="F54" s="2"/>
      <c r="G54" s="2"/>
      <c r="H54" s="3">
        <f>SUM(GMIC_22A_SCDPT2SN2!SCDPT2SN2_592BEGINNG_6:GMIC_22A_SCDPT2SN2!SCDPT2SN2_592ENDINGG_6)</f>
        <v>3000</v>
      </c>
      <c r="I54" s="2"/>
      <c r="J54" s="3">
        <f>SUM(GMIC_22A_SCDPT2SN2!SCDPT2SN2_592BEGINNG_8:GMIC_22A_SCDPT2SN2!SCDPT2SN2_592ENDINGG_8)</f>
        <v>3000</v>
      </c>
      <c r="K54" s="3">
        <f>SUM(GMIC_22A_SCDPT2SN2!SCDPT2SN2_592BEGINNG_9:GMIC_22A_SCDPT2SN2!SCDPT2SN2_592ENDINGG_9)</f>
        <v>3000</v>
      </c>
      <c r="L54" s="3">
        <f>SUM(GMIC_22A_SCDPT2SN2!SCDPT2SN2_592BEGINNG_10:GMIC_22A_SCDPT2SN2!SCDPT2SN2_592ENDINGG_10)</f>
        <v>0</v>
      </c>
      <c r="M54" s="3">
        <f>SUM(GMIC_22A_SCDPT2SN2!SCDPT2SN2_592BEGINNG_11:GMIC_22A_SCDPT2SN2!SCDPT2SN2_592ENDINGG_11)</f>
        <v>0</v>
      </c>
      <c r="N54" s="3">
        <f>SUM(GMIC_22A_SCDPT2SN2!SCDPT2SN2_592BEGINNG_12:GMIC_22A_SCDPT2SN2!SCDPT2SN2_592ENDINGG_12)</f>
        <v>0</v>
      </c>
      <c r="O54" s="3">
        <f>SUM(GMIC_22A_SCDPT2SN2!SCDPT2SN2_592BEGINNG_13:GMIC_22A_SCDPT2SN2!SCDPT2SN2_592ENDINGG_13)</f>
        <v>0</v>
      </c>
      <c r="P54" s="3">
        <f>SUM(GMIC_22A_SCDPT2SN2!SCDPT2SN2_592BEGINNG_14:GMIC_22A_SCDPT2SN2!SCDPT2SN2_592ENDINGG_14)</f>
        <v>0</v>
      </c>
      <c r="Q54" s="3">
        <f>SUM(GMIC_22A_SCDPT2SN2!SCDPT2SN2_592BEGINNG_15:GMIC_22A_SCDPT2SN2!SCDPT2SN2_592ENDINGG_15)</f>
        <v>0</v>
      </c>
      <c r="R54" s="3">
        <f>SUM(GMIC_22A_SCDPT2SN2!SCDPT2SN2_592BEGINNG_16:GMIC_22A_SCDPT2SN2!SCDPT2SN2_592ENDINGG_16)</f>
        <v>0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2:30" ht="42" x14ac:dyDescent="0.3">
      <c r="B55" s="19" t="s">
        <v>2475</v>
      </c>
      <c r="C55" s="17" t="s">
        <v>1843</v>
      </c>
      <c r="D55" s="16"/>
      <c r="E55" s="2"/>
      <c r="F55" s="2"/>
      <c r="G55" s="2"/>
      <c r="H55" s="3">
        <f>GMIC_22A_SCDPT2SN2!SCDPT2SN2_5919999999_6+GMIC_22A_SCDPT2SN2!SCDPT2SN2_5929999999_6</f>
        <v>3000</v>
      </c>
      <c r="I55" s="2"/>
      <c r="J55" s="3">
        <f>GMIC_22A_SCDPT2SN2!SCDPT2SN2_5919999999_8+GMIC_22A_SCDPT2SN2!SCDPT2SN2_5929999999_8</f>
        <v>3000</v>
      </c>
      <c r="K55" s="3">
        <f>GMIC_22A_SCDPT2SN2!SCDPT2SN2_5919999999_9+GMIC_22A_SCDPT2SN2!SCDPT2SN2_5929999999_9</f>
        <v>3000</v>
      </c>
      <c r="L55" s="3">
        <f>GMIC_22A_SCDPT2SN2!SCDPT2SN2_5919999999_10+GMIC_22A_SCDPT2SN2!SCDPT2SN2_5929999999_10</f>
        <v>0</v>
      </c>
      <c r="M55" s="3">
        <f>GMIC_22A_SCDPT2SN2!SCDPT2SN2_5919999999_11+GMIC_22A_SCDPT2SN2!SCDPT2SN2_5929999999_11</f>
        <v>0</v>
      </c>
      <c r="N55" s="3">
        <f>GMIC_22A_SCDPT2SN2!SCDPT2SN2_5919999999_12+GMIC_22A_SCDPT2SN2!SCDPT2SN2_5929999999_12</f>
        <v>0</v>
      </c>
      <c r="O55" s="3">
        <f>GMIC_22A_SCDPT2SN2!SCDPT2SN2_5919999999_13+GMIC_22A_SCDPT2SN2!SCDPT2SN2_5929999999_13</f>
        <v>0</v>
      </c>
      <c r="P55" s="3">
        <f>GMIC_22A_SCDPT2SN2!SCDPT2SN2_5919999999_14+GMIC_22A_SCDPT2SN2!SCDPT2SN2_5929999999_14</f>
        <v>0</v>
      </c>
      <c r="Q55" s="3">
        <f>GMIC_22A_SCDPT2SN2!SCDPT2SN2_5919999999_15+GMIC_22A_SCDPT2SN2!SCDPT2SN2_5929999999_15</f>
        <v>0</v>
      </c>
      <c r="R55" s="3">
        <f>GMIC_22A_SCDPT2SN2!SCDPT2SN2_5919999999_16+GMIC_22A_SCDPT2SN2!SCDPT2SN2_5929999999_16</f>
        <v>0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2:30" x14ac:dyDescent="0.3">
      <c r="B56" s="76" t="s">
        <v>1579</v>
      </c>
      <c r="C56" s="78" t="s">
        <v>1347</v>
      </c>
      <c r="D56" s="16"/>
      <c r="E56" s="2"/>
      <c r="F56" s="2"/>
      <c r="G56" s="2"/>
      <c r="H56" s="3">
        <f>GMIC_22A_SCDPT2SN2!SCDPT2SN2_5109999999_6+GMIC_22A_SCDPT2SN2!SCDPT2SN2_5409999999_6+GMIC_22A_SCDPT2SN2!SCDPT2SN2_5609999999_6+GMIC_22A_SCDPT2SN2!SCDPT2SN2_5809999999_6+GMIC_22A_SCDPT2SN2!SCDPT2SN2_5819999999_6+GMIC_22A_SCDPT2SN2!SCDPT2SN2_5979999999_6</f>
        <v>3000</v>
      </c>
      <c r="I56" s="2"/>
      <c r="J56" s="3">
        <f>GMIC_22A_SCDPT2SN2!SCDPT2SN2_5109999999_8+GMIC_22A_SCDPT2SN2!SCDPT2SN2_5409999999_8+GMIC_22A_SCDPT2SN2!SCDPT2SN2_5609999999_8+GMIC_22A_SCDPT2SN2!SCDPT2SN2_5809999999_8+GMIC_22A_SCDPT2SN2!SCDPT2SN2_5819999999_8+GMIC_22A_SCDPT2SN2!SCDPT2SN2_5979999999_8</f>
        <v>3000</v>
      </c>
      <c r="K56" s="3">
        <f>GMIC_22A_SCDPT2SN2!SCDPT2SN2_5109999999_9+GMIC_22A_SCDPT2SN2!SCDPT2SN2_5409999999_9+GMIC_22A_SCDPT2SN2!SCDPT2SN2_5609999999_9+GMIC_22A_SCDPT2SN2!SCDPT2SN2_5809999999_9+GMIC_22A_SCDPT2SN2!SCDPT2SN2_5819999999_9+GMIC_22A_SCDPT2SN2!SCDPT2SN2_5979999999_9</f>
        <v>3000</v>
      </c>
      <c r="L56" s="3">
        <f>GMIC_22A_SCDPT2SN2!SCDPT2SN2_5109999999_10+GMIC_22A_SCDPT2SN2!SCDPT2SN2_5409999999_10+GMIC_22A_SCDPT2SN2!SCDPT2SN2_5609999999_10+GMIC_22A_SCDPT2SN2!SCDPT2SN2_5809999999_10+GMIC_22A_SCDPT2SN2!SCDPT2SN2_5819999999_10+GMIC_22A_SCDPT2SN2!SCDPT2SN2_5979999999_10</f>
        <v>0</v>
      </c>
      <c r="M56" s="3">
        <f>GMIC_22A_SCDPT2SN2!SCDPT2SN2_5109999999_11+GMIC_22A_SCDPT2SN2!SCDPT2SN2_5409999999_11+GMIC_22A_SCDPT2SN2!SCDPT2SN2_5609999999_11+GMIC_22A_SCDPT2SN2!SCDPT2SN2_5809999999_11+GMIC_22A_SCDPT2SN2!SCDPT2SN2_5819999999_11+GMIC_22A_SCDPT2SN2!SCDPT2SN2_5979999999_11</f>
        <v>0</v>
      </c>
      <c r="N56" s="3">
        <f>GMIC_22A_SCDPT2SN2!SCDPT2SN2_5109999999_12+GMIC_22A_SCDPT2SN2!SCDPT2SN2_5409999999_12+GMIC_22A_SCDPT2SN2!SCDPT2SN2_5609999999_12+GMIC_22A_SCDPT2SN2!SCDPT2SN2_5809999999_12+GMIC_22A_SCDPT2SN2!SCDPT2SN2_5819999999_12+GMIC_22A_SCDPT2SN2!SCDPT2SN2_5979999999_12</f>
        <v>0</v>
      </c>
      <c r="O56" s="3">
        <f>GMIC_22A_SCDPT2SN2!SCDPT2SN2_5109999999_13+GMIC_22A_SCDPT2SN2!SCDPT2SN2_5409999999_13+GMIC_22A_SCDPT2SN2!SCDPT2SN2_5609999999_13+GMIC_22A_SCDPT2SN2!SCDPT2SN2_5809999999_13+GMIC_22A_SCDPT2SN2!SCDPT2SN2_5819999999_13+GMIC_22A_SCDPT2SN2!SCDPT2SN2_5979999999_13</f>
        <v>0</v>
      </c>
      <c r="P56" s="3">
        <f>GMIC_22A_SCDPT2SN2!SCDPT2SN2_5109999999_14+GMIC_22A_SCDPT2SN2!SCDPT2SN2_5409999999_14+GMIC_22A_SCDPT2SN2!SCDPT2SN2_5609999999_14+GMIC_22A_SCDPT2SN2!SCDPT2SN2_5809999999_14+GMIC_22A_SCDPT2SN2!SCDPT2SN2_5819999999_14+GMIC_22A_SCDPT2SN2!SCDPT2SN2_5979999999_14</f>
        <v>0</v>
      </c>
      <c r="Q56" s="3">
        <f>GMIC_22A_SCDPT2SN2!SCDPT2SN2_5109999999_15+GMIC_22A_SCDPT2SN2!SCDPT2SN2_5409999999_15+GMIC_22A_SCDPT2SN2!SCDPT2SN2_5609999999_15+GMIC_22A_SCDPT2SN2!SCDPT2SN2_5809999999_15+GMIC_22A_SCDPT2SN2!SCDPT2SN2_5819999999_15+GMIC_22A_SCDPT2SN2!SCDPT2SN2_5979999999_15</f>
        <v>0</v>
      </c>
      <c r="R56" s="3">
        <f>GMIC_22A_SCDPT2SN2!SCDPT2SN2_5109999999_16+GMIC_22A_SCDPT2SN2!SCDPT2SN2_5409999999_16+GMIC_22A_SCDPT2SN2!SCDPT2SN2_5609999999_16+GMIC_22A_SCDPT2SN2!SCDPT2SN2_5809999999_16+GMIC_22A_SCDPT2SN2!SCDPT2SN2_5819999999_16+GMIC_22A_SCDPT2SN2!SCDPT2SN2_5979999999_16</f>
        <v>0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2:30" ht="28" x14ac:dyDescent="0.3">
      <c r="B57" s="61" t="s">
        <v>705</v>
      </c>
      <c r="C57" s="56" t="s">
        <v>3848</v>
      </c>
      <c r="D57" s="65"/>
      <c r="E57" s="27"/>
      <c r="F57" s="27"/>
      <c r="G57" s="27"/>
      <c r="H57" s="64">
        <v>3000</v>
      </c>
      <c r="I57" s="27"/>
      <c r="J57" s="64">
        <v>3000</v>
      </c>
      <c r="K57" s="64">
        <v>3000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&amp;CSCDPT2SN2SCDPT2SN2</oddHeader>
    <oddFooter>&amp;LWing Application : &amp;R SaveAs(3/3/2023-8:37 AM)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12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18.75" customWidth="1"/>
    <col min="4" max="10" width="14.75" customWidth="1"/>
  </cols>
  <sheetData>
    <row r="1" spans="2:10" x14ac:dyDescent="0.3">
      <c r="C1" s="35" t="s">
        <v>1614</v>
      </c>
      <c r="D1" s="35" t="s">
        <v>1158</v>
      </c>
      <c r="E1" s="35" t="s">
        <v>1615</v>
      </c>
      <c r="F1" s="35" t="s">
        <v>264</v>
      </c>
    </row>
    <row r="2" spans="2:10" ht="20" x14ac:dyDescent="0.3">
      <c r="B2" s="57"/>
      <c r="C2" s="44" t="str">
        <f>GMIC_22A_SCDPT1!Wings_Company_ID</f>
        <v>GMIC</v>
      </c>
      <c r="D2" s="44" t="str">
        <f>GMIC_22A_SCDPT1!Wings_Statement_ID</f>
        <v>22A</v>
      </c>
      <c r="E2" s="42" t="s">
        <v>1342</v>
      </c>
      <c r="F2" s="42" t="s">
        <v>1348</v>
      </c>
    </row>
    <row r="3" spans="2:10" ht="40" customHeight="1" x14ac:dyDescent="0.3">
      <c r="B3" s="62" t="s">
        <v>265</v>
      </c>
      <c r="C3" s="11"/>
      <c r="D3" s="11"/>
      <c r="E3" s="11"/>
      <c r="F3" s="11"/>
      <c r="G3" s="11"/>
      <c r="H3" s="11"/>
      <c r="I3" s="11"/>
      <c r="J3" s="11"/>
    </row>
    <row r="4" spans="2:10" ht="40" customHeight="1" x14ac:dyDescent="0.4">
      <c r="B4" s="63" t="s">
        <v>451</v>
      </c>
      <c r="C4" s="11"/>
      <c r="D4" s="11"/>
      <c r="E4" s="11"/>
      <c r="F4" s="11"/>
      <c r="G4" s="11"/>
      <c r="H4" s="11"/>
      <c r="I4" s="11"/>
      <c r="J4" s="11"/>
    </row>
    <row r="5" spans="2:10" x14ac:dyDescent="0.3">
      <c r="B5" s="59"/>
      <c r="C5" s="74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12">
        <v>6</v>
      </c>
      <c r="J5" s="12">
        <v>7</v>
      </c>
    </row>
    <row r="6" spans="2:10" ht="23.5" x14ac:dyDescent="0.3">
      <c r="B6" s="58"/>
      <c r="C6" s="79"/>
      <c r="D6" s="13" t="s">
        <v>3304</v>
      </c>
      <c r="E6" s="13" t="s">
        <v>3596</v>
      </c>
      <c r="F6" s="13" t="s">
        <v>3841</v>
      </c>
      <c r="G6" s="13" t="s">
        <v>4113</v>
      </c>
      <c r="H6" s="13" t="s">
        <v>4448</v>
      </c>
      <c r="I6" s="13" t="s">
        <v>193</v>
      </c>
      <c r="J6" s="13" t="s">
        <v>446</v>
      </c>
    </row>
    <row r="7" spans="2:10" x14ac:dyDescent="0.3">
      <c r="B7" s="76" t="s">
        <v>3305</v>
      </c>
      <c r="C7" s="78" t="s">
        <v>1339</v>
      </c>
      <c r="D7" s="80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</row>
    <row r="8" spans="2:10" x14ac:dyDescent="0.3">
      <c r="B8" s="76" t="s">
        <v>4449</v>
      </c>
      <c r="C8" s="78" t="s">
        <v>2470</v>
      </c>
      <c r="D8" s="80">
        <v>0</v>
      </c>
      <c r="E8" s="24">
        <v>0</v>
      </c>
      <c r="F8" s="24">
        <v>0</v>
      </c>
      <c r="G8" s="2"/>
      <c r="H8" s="2"/>
      <c r="I8" s="2"/>
      <c r="J8" s="2"/>
    </row>
    <row r="9" spans="2:10" x14ac:dyDescent="0.3">
      <c r="B9" s="76" t="s">
        <v>1050</v>
      </c>
      <c r="C9" s="78" t="s">
        <v>3842</v>
      </c>
      <c r="D9" s="80">
        <v>0</v>
      </c>
      <c r="E9" s="24">
        <v>0</v>
      </c>
      <c r="F9" s="24">
        <v>0</v>
      </c>
      <c r="G9" s="2"/>
      <c r="H9" s="2"/>
      <c r="I9" s="2"/>
      <c r="J9" s="2"/>
    </row>
    <row r="10" spans="2:10" x14ac:dyDescent="0.3">
      <c r="B10" s="76" t="s">
        <v>2170</v>
      </c>
      <c r="C10" s="78" t="s">
        <v>447</v>
      </c>
      <c r="D10" s="80">
        <v>0</v>
      </c>
      <c r="E10" s="24">
        <v>0</v>
      </c>
      <c r="F10" s="24">
        <v>0</v>
      </c>
      <c r="G10" s="2"/>
      <c r="H10" s="2"/>
      <c r="I10" s="2"/>
      <c r="J10" s="2"/>
    </row>
    <row r="11" spans="2:10" x14ac:dyDescent="0.3">
      <c r="B11" s="76" t="s">
        <v>3597</v>
      </c>
      <c r="C11" s="78" t="s">
        <v>1570</v>
      </c>
      <c r="D11" s="80">
        <v>0</v>
      </c>
      <c r="E11" s="24">
        <v>0</v>
      </c>
      <c r="F11" s="24">
        <v>0</v>
      </c>
      <c r="G11" s="2"/>
      <c r="H11" s="2"/>
      <c r="I11" s="2"/>
      <c r="J11" s="2"/>
    </row>
    <row r="12" spans="2:10" x14ac:dyDescent="0.3">
      <c r="B12" s="61" t="s">
        <v>194</v>
      </c>
      <c r="C12" s="56" t="s">
        <v>2688</v>
      </c>
      <c r="D12" s="82">
        <v>0</v>
      </c>
      <c r="E12" s="27"/>
      <c r="F12" s="27"/>
      <c r="G12" s="27"/>
      <c r="H12" s="27"/>
      <c r="I12" s="27"/>
      <c r="J12" s="27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&amp;CSCDPT2SN2FSCDPT2SN2F</oddHeader>
    <oddFooter>&amp;LWing Application : &amp;R SaveAs(3/3/2023-8:37 AM)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299"/>
  <sheetViews>
    <sheetView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5" width="59.75" customWidth="1"/>
    <col min="6" max="6" width="10.75" customWidth="1"/>
    <col min="7" max="7" width="25.75" customWidth="1"/>
    <col min="8" max="8" width="12.75" customWidth="1"/>
    <col min="9" max="11" width="14.75" customWidth="1"/>
    <col min="12" max="12" width="10.75" customWidth="1"/>
    <col min="13" max="13" width="20.75" customWidth="1"/>
    <col min="14" max="15" width="25.75" customWidth="1"/>
    <col min="16" max="16" width="10.75" customWidth="1"/>
    <col min="17" max="17" width="25.75" customWidth="1"/>
  </cols>
  <sheetData>
    <row r="1" spans="2:17" x14ac:dyDescent="0.3">
      <c r="C1" s="35" t="s">
        <v>1614</v>
      </c>
      <c r="D1" s="35" t="s">
        <v>1158</v>
      </c>
      <c r="E1" s="35" t="s">
        <v>1615</v>
      </c>
      <c r="F1" s="35" t="s">
        <v>264</v>
      </c>
    </row>
    <row r="2" spans="2:17" x14ac:dyDescent="0.3">
      <c r="B2" s="57"/>
      <c r="C2" s="44" t="str">
        <f>GMIC_22A_SCDPT1!Wings_Company_ID</f>
        <v>GMIC</v>
      </c>
      <c r="D2" s="44" t="str">
        <f>GMIC_22A_SCDPT1!Wings_Statement_ID</f>
        <v>22A</v>
      </c>
      <c r="E2" s="42" t="s">
        <v>4118</v>
      </c>
      <c r="F2" s="42" t="s">
        <v>4119</v>
      </c>
    </row>
    <row r="3" spans="2:17" ht="40" customHeight="1" x14ac:dyDescent="0.3">
      <c r="B3" s="62" t="s">
        <v>265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2:17" ht="40" customHeight="1" x14ac:dyDescent="0.4">
      <c r="B4" s="63" t="s">
        <v>3602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x14ac:dyDescent="0.3">
      <c r="B5" s="59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  <c r="O5" s="12">
        <v>13</v>
      </c>
      <c r="P5" s="12">
        <v>14</v>
      </c>
      <c r="Q5" s="12">
        <v>15</v>
      </c>
    </row>
    <row r="6" spans="2:17" ht="35" x14ac:dyDescent="0.3">
      <c r="B6" s="58"/>
      <c r="C6" s="13" t="s">
        <v>3889</v>
      </c>
      <c r="D6" s="13" t="s">
        <v>1912</v>
      </c>
      <c r="E6" s="13" t="s">
        <v>3405</v>
      </c>
      <c r="F6" s="13" t="s">
        <v>2530</v>
      </c>
      <c r="G6" s="13" t="s">
        <v>1055</v>
      </c>
      <c r="H6" s="13" t="s">
        <v>1844</v>
      </c>
      <c r="I6" s="13" t="s">
        <v>1401</v>
      </c>
      <c r="J6" s="13" t="s">
        <v>1618</v>
      </c>
      <c r="K6" s="13" t="s">
        <v>1056</v>
      </c>
      <c r="L6" s="13" t="s">
        <v>503</v>
      </c>
      <c r="M6" s="13" t="s">
        <v>3407</v>
      </c>
      <c r="N6" s="13" t="s">
        <v>3050</v>
      </c>
      <c r="O6" s="13" t="s">
        <v>504</v>
      </c>
      <c r="P6" s="13" t="s">
        <v>2531</v>
      </c>
      <c r="Q6" s="13" t="s">
        <v>1159</v>
      </c>
    </row>
    <row r="7" spans="2:17" x14ac:dyDescent="0.3">
      <c r="B7" s="7" t="s">
        <v>2744</v>
      </c>
      <c r="C7" s="1" t="s">
        <v>2744</v>
      </c>
      <c r="D7" s="8" t="s">
        <v>2744</v>
      </c>
      <c r="E7" s="1" t="s">
        <v>2744</v>
      </c>
      <c r="F7" s="1" t="s">
        <v>2744</v>
      </c>
      <c r="G7" s="1" t="s">
        <v>2744</v>
      </c>
      <c r="H7" s="1" t="s">
        <v>2744</v>
      </c>
      <c r="I7" s="1" t="s">
        <v>2744</v>
      </c>
      <c r="J7" s="1" t="s">
        <v>2744</v>
      </c>
      <c r="K7" s="1" t="s">
        <v>2744</v>
      </c>
      <c r="L7" s="1" t="s">
        <v>2744</v>
      </c>
      <c r="M7" s="1" t="s">
        <v>2744</v>
      </c>
      <c r="N7" s="1" t="s">
        <v>2744</v>
      </c>
      <c r="O7" s="1" t="s">
        <v>2744</v>
      </c>
      <c r="P7" s="1" t="s">
        <v>2744</v>
      </c>
      <c r="Q7" s="1" t="s">
        <v>2744</v>
      </c>
    </row>
    <row r="8" spans="2:17" x14ac:dyDescent="0.3">
      <c r="B8" s="18" t="s">
        <v>2175</v>
      </c>
      <c r="C8" s="25" t="s">
        <v>3897</v>
      </c>
      <c r="D8" s="15" t="s">
        <v>2</v>
      </c>
      <c r="E8" s="20" t="s">
        <v>2</v>
      </c>
      <c r="F8" s="6"/>
      <c r="G8" s="5" t="s">
        <v>2</v>
      </c>
      <c r="H8" s="2"/>
      <c r="I8" s="4"/>
      <c r="J8" s="4"/>
      <c r="K8" s="4"/>
      <c r="L8" s="2"/>
      <c r="M8" s="5" t="s">
        <v>2</v>
      </c>
      <c r="N8" s="5" t="s">
        <v>2</v>
      </c>
      <c r="O8" s="5" t="s">
        <v>2</v>
      </c>
      <c r="P8" s="21" t="s">
        <v>2</v>
      </c>
      <c r="Q8" s="26" t="s">
        <v>2</v>
      </c>
    </row>
    <row r="9" spans="2:17" x14ac:dyDescent="0.3">
      <c r="B9" s="7" t="s">
        <v>2744</v>
      </c>
      <c r="C9" s="1" t="s">
        <v>2744</v>
      </c>
      <c r="D9" s="8" t="s">
        <v>2744</v>
      </c>
      <c r="E9" s="1" t="s">
        <v>2744</v>
      </c>
      <c r="F9" s="1" t="s">
        <v>2744</v>
      </c>
      <c r="G9" s="1" t="s">
        <v>2744</v>
      </c>
      <c r="H9" s="1" t="s">
        <v>2744</v>
      </c>
      <c r="I9" s="1" t="s">
        <v>2744</v>
      </c>
      <c r="J9" s="1" t="s">
        <v>2744</v>
      </c>
      <c r="K9" s="1" t="s">
        <v>2744</v>
      </c>
      <c r="L9" s="1" t="s">
        <v>2744</v>
      </c>
      <c r="M9" s="1" t="s">
        <v>2744</v>
      </c>
      <c r="N9" s="1" t="s">
        <v>2744</v>
      </c>
      <c r="O9" s="1" t="s">
        <v>2744</v>
      </c>
      <c r="P9" s="1" t="s">
        <v>2744</v>
      </c>
      <c r="Q9" s="1" t="s">
        <v>2744</v>
      </c>
    </row>
    <row r="10" spans="2:17" ht="28" x14ac:dyDescent="0.3">
      <c r="B10" s="19" t="s">
        <v>2747</v>
      </c>
      <c r="C10" s="17" t="s">
        <v>2977</v>
      </c>
      <c r="D10" s="16"/>
      <c r="E10" s="2"/>
      <c r="F10" s="29"/>
      <c r="G10" s="2"/>
      <c r="H10" s="2"/>
      <c r="I10" s="3">
        <f>SUM(GMIC_22A_SCDPT3!SCDPT3_010BEGINNG_7:GMIC_22A_SCDPT3!SCDPT3_010ENDINGG_7)</f>
        <v>0</v>
      </c>
      <c r="J10" s="3">
        <f>SUM(GMIC_22A_SCDPT3!SCDPT3_010BEGINNG_8:GMIC_22A_SCDPT3!SCDPT3_010ENDINGG_8)</f>
        <v>0</v>
      </c>
      <c r="K10" s="3">
        <f>SUM(GMIC_22A_SCDPT3!SCDPT3_010BEGINNG_9:GMIC_22A_SCDPT3!SCDPT3_010ENDINGG_9)</f>
        <v>0</v>
      </c>
      <c r="L10" s="2"/>
      <c r="M10" s="2"/>
      <c r="N10" s="2"/>
      <c r="O10" s="2"/>
      <c r="P10" s="2"/>
      <c r="Q10" s="2"/>
    </row>
    <row r="11" spans="2:17" x14ac:dyDescent="0.3">
      <c r="B11" s="7" t="s">
        <v>2744</v>
      </c>
      <c r="C11" s="1" t="s">
        <v>2744</v>
      </c>
      <c r="D11" s="8" t="s">
        <v>2744</v>
      </c>
      <c r="E11" s="1" t="s">
        <v>2744</v>
      </c>
      <c r="F11" s="22" t="s">
        <v>2744</v>
      </c>
      <c r="G11" s="1" t="s">
        <v>2744</v>
      </c>
      <c r="H11" s="1" t="s">
        <v>2744</v>
      </c>
      <c r="I11" s="1" t="s">
        <v>2744</v>
      </c>
      <c r="J11" s="1" t="s">
        <v>2744</v>
      </c>
      <c r="K11" s="1" t="s">
        <v>2744</v>
      </c>
      <c r="L11" s="1" t="s">
        <v>2744</v>
      </c>
      <c r="M11" s="1" t="s">
        <v>2744</v>
      </c>
      <c r="N11" s="1" t="s">
        <v>2744</v>
      </c>
      <c r="O11" s="1" t="s">
        <v>2744</v>
      </c>
      <c r="P11" s="1" t="s">
        <v>2744</v>
      </c>
      <c r="Q11" s="1" t="s">
        <v>2744</v>
      </c>
    </row>
    <row r="12" spans="2:17" x14ac:dyDescent="0.3">
      <c r="B12" s="18" t="s">
        <v>2692</v>
      </c>
      <c r="C12" s="25" t="s">
        <v>3897</v>
      </c>
      <c r="D12" s="15" t="s">
        <v>2</v>
      </c>
      <c r="E12" s="20" t="s">
        <v>2</v>
      </c>
      <c r="F12" s="6"/>
      <c r="G12" s="5" t="s">
        <v>2</v>
      </c>
      <c r="H12" s="2"/>
      <c r="I12" s="4"/>
      <c r="J12" s="4"/>
      <c r="K12" s="4"/>
      <c r="L12" s="2"/>
      <c r="M12" s="5" t="s">
        <v>2</v>
      </c>
      <c r="N12" s="5" t="s">
        <v>2</v>
      </c>
      <c r="O12" s="5" t="s">
        <v>2</v>
      </c>
      <c r="P12" s="21" t="s">
        <v>2</v>
      </c>
      <c r="Q12" s="26" t="s">
        <v>2</v>
      </c>
    </row>
    <row r="13" spans="2:17" x14ac:dyDescent="0.3">
      <c r="B13" s="7" t="s">
        <v>2744</v>
      </c>
      <c r="C13" s="1" t="s">
        <v>2744</v>
      </c>
      <c r="D13" s="8" t="s">
        <v>2744</v>
      </c>
      <c r="E13" s="1" t="s">
        <v>2744</v>
      </c>
      <c r="F13" s="22" t="s">
        <v>2744</v>
      </c>
      <c r="G13" s="1" t="s">
        <v>2744</v>
      </c>
      <c r="H13" s="1" t="s">
        <v>2744</v>
      </c>
      <c r="I13" s="1" t="s">
        <v>2744</v>
      </c>
      <c r="J13" s="1" t="s">
        <v>2744</v>
      </c>
      <c r="K13" s="1" t="s">
        <v>2744</v>
      </c>
      <c r="L13" s="1" t="s">
        <v>2744</v>
      </c>
      <c r="M13" s="1" t="s">
        <v>2744</v>
      </c>
      <c r="N13" s="1" t="s">
        <v>2744</v>
      </c>
      <c r="O13" s="1" t="s">
        <v>2744</v>
      </c>
      <c r="P13" s="1" t="s">
        <v>2744</v>
      </c>
      <c r="Q13" s="1" t="s">
        <v>2744</v>
      </c>
    </row>
    <row r="14" spans="2:17" ht="28" x14ac:dyDescent="0.3">
      <c r="B14" s="19" t="s">
        <v>3412</v>
      </c>
      <c r="C14" s="17" t="s">
        <v>2176</v>
      </c>
      <c r="D14" s="16"/>
      <c r="E14" s="2"/>
      <c r="F14" s="29"/>
      <c r="G14" s="2"/>
      <c r="H14" s="2"/>
      <c r="I14" s="3">
        <f>SUM(GMIC_22A_SCDPT3!SCDPT3_030BEGINNG_7:GMIC_22A_SCDPT3!SCDPT3_030ENDINGG_7)</f>
        <v>0</v>
      </c>
      <c r="J14" s="3">
        <f>SUM(GMIC_22A_SCDPT3!SCDPT3_030BEGINNG_8:GMIC_22A_SCDPT3!SCDPT3_030ENDINGG_8)</f>
        <v>0</v>
      </c>
      <c r="K14" s="3">
        <f>SUM(GMIC_22A_SCDPT3!SCDPT3_030BEGINNG_9:GMIC_22A_SCDPT3!SCDPT3_030ENDINGG_9)</f>
        <v>0</v>
      </c>
      <c r="L14" s="2"/>
      <c r="M14" s="2"/>
      <c r="N14" s="2"/>
      <c r="O14" s="2"/>
      <c r="P14" s="2"/>
      <c r="Q14" s="2"/>
    </row>
    <row r="15" spans="2:17" x14ac:dyDescent="0.3">
      <c r="B15" s="7" t="s">
        <v>2744</v>
      </c>
      <c r="C15" s="1" t="s">
        <v>2744</v>
      </c>
      <c r="D15" s="8" t="s">
        <v>2744</v>
      </c>
      <c r="E15" s="1" t="s">
        <v>2744</v>
      </c>
      <c r="F15" s="22" t="s">
        <v>2744</v>
      </c>
      <c r="G15" s="1" t="s">
        <v>2744</v>
      </c>
      <c r="H15" s="1" t="s">
        <v>2744</v>
      </c>
      <c r="I15" s="1" t="s">
        <v>2744</v>
      </c>
      <c r="J15" s="1" t="s">
        <v>2744</v>
      </c>
      <c r="K15" s="1" t="s">
        <v>2744</v>
      </c>
      <c r="L15" s="1" t="s">
        <v>2744</v>
      </c>
      <c r="M15" s="1" t="s">
        <v>2744</v>
      </c>
      <c r="N15" s="1" t="s">
        <v>2744</v>
      </c>
      <c r="O15" s="1" t="s">
        <v>2744</v>
      </c>
      <c r="P15" s="1" t="s">
        <v>2744</v>
      </c>
      <c r="Q15" s="1" t="s">
        <v>2744</v>
      </c>
    </row>
    <row r="16" spans="2:17" x14ac:dyDescent="0.3">
      <c r="B16" s="18" t="s">
        <v>3308</v>
      </c>
      <c r="C16" s="25" t="s">
        <v>3897</v>
      </c>
      <c r="D16" s="15" t="s">
        <v>2</v>
      </c>
      <c r="E16" s="20" t="s">
        <v>2</v>
      </c>
      <c r="F16" s="10"/>
      <c r="G16" s="5" t="s">
        <v>2</v>
      </c>
      <c r="H16" s="2"/>
      <c r="I16" s="4"/>
      <c r="J16" s="4"/>
      <c r="K16" s="4"/>
      <c r="L16" s="45" t="s">
        <v>2</v>
      </c>
      <c r="M16" s="5" t="s">
        <v>2</v>
      </c>
      <c r="N16" s="5" t="s">
        <v>2</v>
      </c>
      <c r="O16" s="5" t="s">
        <v>2</v>
      </c>
      <c r="P16" s="21" t="s">
        <v>2</v>
      </c>
      <c r="Q16" s="26" t="s">
        <v>2</v>
      </c>
    </row>
    <row r="17" spans="2:17" x14ac:dyDescent="0.3">
      <c r="B17" s="7" t="s">
        <v>2744</v>
      </c>
      <c r="C17" s="1" t="s">
        <v>2744</v>
      </c>
      <c r="D17" s="8" t="s">
        <v>2744</v>
      </c>
      <c r="E17" s="1" t="s">
        <v>2744</v>
      </c>
      <c r="F17" s="22" t="s">
        <v>2744</v>
      </c>
      <c r="G17" s="1" t="s">
        <v>2744</v>
      </c>
      <c r="H17" s="1" t="s">
        <v>2744</v>
      </c>
      <c r="I17" s="1" t="s">
        <v>2744</v>
      </c>
      <c r="J17" s="1" t="s">
        <v>2744</v>
      </c>
      <c r="K17" s="1" t="s">
        <v>2744</v>
      </c>
      <c r="L17" s="1" t="s">
        <v>2744</v>
      </c>
      <c r="M17" s="1" t="s">
        <v>2744</v>
      </c>
      <c r="N17" s="1" t="s">
        <v>2744</v>
      </c>
      <c r="O17" s="1" t="s">
        <v>2744</v>
      </c>
      <c r="P17" s="1" t="s">
        <v>2744</v>
      </c>
      <c r="Q17" s="1" t="s">
        <v>2744</v>
      </c>
    </row>
    <row r="18" spans="2:17" ht="28" x14ac:dyDescent="0.3">
      <c r="B18" s="19" t="s">
        <v>3900</v>
      </c>
      <c r="C18" s="17" t="s">
        <v>2177</v>
      </c>
      <c r="D18" s="16"/>
      <c r="E18" s="2"/>
      <c r="F18" s="29"/>
      <c r="G18" s="2"/>
      <c r="H18" s="2"/>
      <c r="I18" s="3">
        <f>SUM(GMIC_22A_SCDPT3!SCDPT3_050BEGINNG_7:GMIC_22A_SCDPT3!SCDPT3_050ENDINGG_7)</f>
        <v>0</v>
      </c>
      <c r="J18" s="3">
        <f>SUM(GMIC_22A_SCDPT3!SCDPT3_050BEGINNG_8:GMIC_22A_SCDPT3!SCDPT3_050ENDINGG_8)</f>
        <v>0</v>
      </c>
      <c r="K18" s="3">
        <f>SUM(GMIC_22A_SCDPT3!SCDPT3_050BEGINNG_9:GMIC_22A_SCDPT3!SCDPT3_050ENDINGG_9)</f>
        <v>0</v>
      </c>
      <c r="L18" s="2"/>
      <c r="M18" s="2"/>
      <c r="N18" s="2"/>
      <c r="O18" s="2"/>
      <c r="P18" s="2"/>
      <c r="Q18" s="2"/>
    </row>
    <row r="19" spans="2:17" x14ac:dyDescent="0.3">
      <c r="B19" s="7" t="s">
        <v>2744</v>
      </c>
      <c r="C19" s="1" t="s">
        <v>2744</v>
      </c>
      <c r="D19" s="8" t="s">
        <v>2744</v>
      </c>
      <c r="E19" s="1" t="s">
        <v>2744</v>
      </c>
      <c r="F19" s="22" t="s">
        <v>2744</v>
      </c>
      <c r="G19" s="1" t="s">
        <v>2744</v>
      </c>
      <c r="H19" s="1" t="s">
        <v>2744</v>
      </c>
      <c r="I19" s="1" t="s">
        <v>2744</v>
      </c>
      <c r="J19" s="1" t="s">
        <v>2744</v>
      </c>
      <c r="K19" s="1" t="s">
        <v>2744</v>
      </c>
      <c r="L19" s="1" t="s">
        <v>2744</v>
      </c>
      <c r="M19" s="1" t="s">
        <v>2744</v>
      </c>
      <c r="N19" s="1" t="s">
        <v>2744</v>
      </c>
      <c r="O19" s="1" t="s">
        <v>2744</v>
      </c>
      <c r="P19" s="1" t="s">
        <v>2744</v>
      </c>
      <c r="Q19" s="1" t="s">
        <v>2744</v>
      </c>
    </row>
    <row r="20" spans="2:17" x14ac:dyDescent="0.3">
      <c r="B20" s="18" t="s">
        <v>3849</v>
      </c>
      <c r="C20" s="25" t="s">
        <v>3897</v>
      </c>
      <c r="D20" s="15" t="s">
        <v>2</v>
      </c>
      <c r="E20" s="20" t="s">
        <v>2</v>
      </c>
      <c r="F20" s="10"/>
      <c r="G20" s="5" t="s">
        <v>2</v>
      </c>
      <c r="H20" s="2"/>
      <c r="I20" s="4"/>
      <c r="J20" s="4"/>
      <c r="K20" s="4"/>
      <c r="L20" s="45" t="s">
        <v>2</v>
      </c>
      <c r="M20" s="5" t="s">
        <v>2</v>
      </c>
      <c r="N20" s="5" t="s">
        <v>2</v>
      </c>
      <c r="O20" s="5" t="s">
        <v>2</v>
      </c>
      <c r="P20" s="21" t="s">
        <v>2</v>
      </c>
      <c r="Q20" s="26" t="s">
        <v>2</v>
      </c>
    </row>
    <row r="21" spans="2:17" x14ac:dyDescent="0.3">
      <c r="B21" s="7" t="s">
        <v>2744</v>
      </c>
      <c r="C21" s="1" t="s">
        <v>2744</v>
      </c>
      <c r="D21" s="8" t="s">
        <v>2744</v>
      </c>
      <c r="E21" s="1" t="s">
        <v>2744</v>
      </c>
      <c r="F21" s="22" t="s">
        <v>2744</v>
      </c>
      <c r="G21" s="1" t="s">
        <v>2744</v>
      </c>
      <c r="H21" s="1" t="s">
        <v>2744</v>
      </c>
      <c r="I21" s="1" t="s">
        <v>2744</v>
      </c>
      <c r="J21" s="1" t="s">
        <v>2744</v>
      </c>
      <c r="K21" s="1" t="s">
        <v>2744</v>
      </c>
      <c r="L21" s="1" t="s">
        <v>2744</v>
      </c>
      <c r="M21" s="1" t="s">
        <v>2744</v>
      </c>
      <c r="N21" s="1" t="s">
        <v>2744</v>
      </c>
      <c r="O21" s="1" t="s">
        <v>2744</v>
      </c>
      <c r="P21" s="1" t="s">
        <v>2744</v>
      </c>
      <c r="Q21" s="1" t="s">
        <v>2744</v>
      </c>
    </row>
    <row r="22" spans="2:17" ht="56" x14ac:dyDescent="0.3">
      <c r="B22" s="19" t="s">
        <v>15</v>
      </c>
      <c r="C22" s="17" t="s">
        <v>3309</v>
      </c>
      <c r="D22" s="16"/>
      <c r="E22" s="2"/>
      <c r="F22" s="29"/>
      <c r="G22" s="2"/>
      <c r="H22" s="2"/>
      <c r="I22" s="3">
        <f>SUM(GMIC_22A_SCDPT3!SCDPT3_070BEGINNG_7:GMIC_22A_SCDPT3!SCDPT3_070ENDINGG_7)</f>
        <v>0</v>
      </c>
      <c r="J22" s="3">
        <f>SUM(GMIC_22A_SCDPT3!SCDPT3_070BEGINNG_8:GMIC_22A_SCDPT3!SCDPT3_070ENDINGG_8)</f>
        <v>0</v>
      </c>
      <c r="K22" s="3">
        <f>SUM(GMIC_22A_SCDPT3!SCDPT3_070BEGINNG_9:GMIC_22A_SCDPT3!SCDPT3_070ENDINGG_9)</f>
        <v>0</v>
      </c>
      <c r="L22" s="2"/>
      <c r="M22" s="2"/>
      <c r="N22" s="2"/>
      <c r="O22" s="2"/>
      <c r="P22" s="2"/>
      <c r="Q22" s="2"/>
    </row>
    <row r="23" spans="2:17" x14ac:dyDescent="0.3">
      <c r="B23" s="7" t="s">
        <v>2744</v>
      </c>
      <c r="C23" s="1" t="s">
        <v>2744</v>
      </c>
      <c r="D23" s="8" t="s">
        <v>2744</v>
      </c>
      <c r="E23" s="1" t="s">
        <v>2744</v>
      </c>
      <c r="F23" s="22" t="s">
        <v>2744</v>
      </c>
      <c r="G23" s="1" t="s">
        <v>2744</v>
      </c>
      <c r="H23" s="1" t="s">
        <v>2744</v>
      </c>
      <c r="I23" s="1" t="s">
        <v>2744</v>
      </c>
      <c r="J23" s="1" t="s">
        <v>2744</v>
      </c>
      <c r="K23" s="1" t="s">
        <v>2744</v>
      </c>
      <c r="L23" s="1" t="s">
        <v>2744</v>
      </c>
      <c r="M23" s="1" t="s">
        <v>2744</v>
      </c>
      <c r="N23" s="1" t="s">
        <v>2744</v>
      </c>
      <c r="O23" s="1" t="s">
        <v>2744</v>
      </c>
      <c r="P23" s="1" t="s">
        <v>2744</v>
      </c>
      <c r="Q23" s="1" t="s">
        <v>2744</v>
      </c>
    </row>
    <row r="24" spans="2:17" x14ac:dyDescent="0.3">
      <c r="B24" s="18" t="s">
        <v>1057</v>
      </c>
      <c r="C24" s="47" t="s">
        <v>1937</v>
      </c>
      <c r="D24" s="15" t="s">
        <v>816</v>
      </c>
      <c r="E24" s="20" t="s">
        <v>2</v>
      </c>
      <c r="F24" s="14">
        <v>44803</v>
      </c>
      <c r="G24" s="5" t="s">
        <v>2178</v>
      </c>
      <c r="H24" s="2"/>
      <c r="I24" s="4">
        <v>813200</v>
      </c>
      <c r="J24" s="4">
        <v>1000000</v>
      </c>
      <c r="K24" s="4">
        <v>4295</v>
      </c>
      <c r="L24" s="45" t="s">
        <v>3654</v>
      </c>
      <c r="M24" s="5" t="s">
        <v>2</v>
      </c>
      <c r="N24" s="5" t="s">
        <v>816</v>
      </c>
      <c r="O24" s="5" t="s">
        <v>2</v>
      </c>
      <c r="P24" s="21" t="s">
        <v>2</v>
      </c>
      <c r="Q24" s="26" t="s">
        <v>4179</v>
      </c>
    </row>
    <row r="25" spans="2:17" x14ac:dyDescent="0.3">
      <c r="B25" s="18" t="s">
        <v>2179</v>
      </c>
      <c r="C25" s="47" t="s">
        <v>3909</v>
      </c>
      <c r="D25" s="15" t="s">
        <v>25</v>
      </c>
      <c r="E25" s="55" t="s">
        <v>2</v>
      </c>
      <c r="F25" s="14">
        <v>44575</v>
      </c>
      <c r="G25" s="5" t="s">
        <v>4453</v>
      </c>
      <c r="H25" s="2"/>
      <c r="I25" s="4">
        <v>6519649</v>
      </c>
      <c r="J25" s="4">
        <v>6570000</v>
      </c>
      <c r="K25" s="4">
        <v>22586</v>
      </c>
      <c r="L25" s="70" t="s">
        <v>1410</v>
      </c>
      <c r="M25" s="5" t="s">
        <v>3908</v>
      </c>
      <c r="N25" s="5" t="s">
        <v>284</v>
      </c>
      <c r="O25" s="5" t="s">
        <v>2763</v>
      </c>
      <c r="P25" s="21" t="s">
        <v>2</v>
      </c>
      <c r="Q25" s="54" t="s">
        <v>4179</v>
      </c>
    </row>
    <row r="26" spans="2:17" x14ac:dyDescent="0.3">
      <c r="B26" s="7" t="s">
        <v>2744</v>
      </c>
      <c r="C26" s="1" t="s">
        <v>2744</v>
      </c>
      <c r="D26" s="8" t="s">
        <v>2744</v>
      </c>
      <c r="E26" s="1" t="s">
        <v>2744</v>
      </c>
      <c r="F26" s="22" t="s">
        <v>2744</v>
      </c>
      <c r="G26" s="1" t="s">
        <v>2744</v>
      </c>
      <c r="H26" s="1" t="s">
        <v>2744</v>
      </c>
      <c r="I26" s="1" t="s">
        <v>2744</v>
      </c>
      <c r="J26" s="1" t="s">
        <v>2744</v>
      </c>
      <c r="K26" s="1" t="s">
        <v>2744</v>
      </c>
      <c r="L26" s="1" t="s">
        <v>2744</v>
      </c>
      <c r="M26" s="1" t="s">
        <v>2744</v>
      </c>
      <c r="N26" s="1" t="s">
        <v>2744</v>
      </c>
      <c r="O26" s="1" t="s">
        <v>2744</v>
      </c>
      <c r="P26" s="1" t="s">
        <v>2744</v>
      </c>
      <c r="Q26" s="1" t="s">
        <v>2744</v>
      </c>
    </row>
    <row r="27" spans="2:17" ht="28" x14ac:dyDescent="0.3">
      <c r="B27" s="19" t="s">
        <v>523</v>
      </c>
      <c r="C27" s="17" t="s">
        <v>706</v>
      </c>
      <c r="D27" s="16"/>
      <c r="E27" s="2"/>
      <c r="F27" s="29"/>
      <c r="G27" s="2"/>
      <c r="H27" s="2"/>
      <c r="I27" s="3">
        <f>SUM(GMIC_22A_SCDPT3!SCDPT3_090BEGINNG_7:GMIC_22A_SCDPT3!SCDPT3_090ENDINGG_7)</f>
        <v>7332849</v>
      </c>
      <c r="J27" s="3">
        <f>SUM(GMIC_22A_SCDPT3!SCDPT3_090BEGINNG_8:GMIC_22A_SCDPT3!SCDPT3_090ENDINGG_8)</f>
        <v>7570000</v>
      </c>
      <c r="K27" s="3">
        <f>SUM(GMIC_22A_SCDPT3!SCDPT3_090BEGINNG_9:GMIC_22A_SCDPT3!SCDPT3_090ENDINGG_9)</f>
        <v>26881</v>
      </c>
      <c r="L27" s="2"/>
      <c r="M27" s="2"/>
      <c r="N27" s="2"/>
      <c r="O27" s="2"/>
      <c r="P27" s="2"/>
      <c r="Q27" s="2"/>
    </row>
    <row r="28" spans="2:17" x14ac:dyDescent="0.3">
      <c r="B28" s="7" t="s">
        <v>2744</v>
      </c>
      <c r="C28" s="1" t="s">
        <v>2744</v>
      </c>
      <c r="D28" s="8" t="s">
        <v>2744</v>
      </c>
      <c r="E28" s="1" t="s">
        <v>2744</v>
      </c>
      <c r="F28" s="22" t="s">
        <v>2744</v>
      </c>
      <c r="G28" s="1" t="s">
        <v>2744</v>
      </c>
      <c r="H28" s="1" t="s">
        <v>2744</v>
      </c>
      <c r="I28" s="1" t="s">
        <v>2744</v>
      </c>
      <c r="J28" s="1" t="s">
        <v>2744</v>
      </c>
      <c r="K28" s="1" t="s">
        <v>2744</v>
      </c>
      <c r="L28" s="1" t="s">
        <v>2744</v>
      </c>
      <c r="M28" s="1" t="s">
        <v>2744</v>
      </c>
      <c r="N28" s="1" t="s">
        <v>2744</v>
      </c>
      <c r="O28" s="1" t="s">
        <v>2744</v>
      </c>
      <c r="P28" s="1" t="s">
        <v>2744</v>
      </c>
      <c r="Q28" s="1" t="s">
        <v>2744</v>
      </c>
    </row>
    <row r="29" spans="2:17" x14ac:dyDescent="0.3">
      <c r="B29" s="18" t="s">
        <v>2978</v>
      </c>
      <c r="C29" s="47" t="s">
        <v>3561</v>
      </c>
      <c r="D29" s="15" t="s">
        <v>1787</v>
      </c>
      <c r="E29" s="20" t="s">
        <v>2</v>
      </c>
      <c r="F29" s="14">
        <v>44658</v>
      </c>
      <c r="G29" s="5" t="s">
        <v>3310</v>
      </c>
      <c r="H29" s="2"/>
      <c r="I29" s="4">
        <v>3369643</v>
      </c>
      <c r="J29" s="4">
        <v>3370000</v>
      </c>
      <c r="K29" s="4">
        <v>0</v>
      </c>
      <c r="L29" s="2"/>
      <c r="M29" s="5" t="s">
        <v>2</v>
      </c>
      <c r="N29" s="5" t="s">
        <v>3775</v>
      </c>
      <c r="O29" s="5" t="s">
        <v>824</v>
      </c>
      <c r="P29" s="21" t="s">
        <v>2</v>
      </c>
      <c r="Q29" s="26" t="s">
        <v>4179</v>
      </c>
    </row>
    <row r="30" spans="2:17" x14ac:dyDescent="0.3">
      <c r="B30" s="18" t="s">
        <v>4120</v>
      </c>
      <c r="C30" s="47" t="s">
        <v>3562</v>
      </c>
      <c r="D30" s="15" t="s">
        <v>1787</v>
      </c>
      <c r="E30" s="55" t="s">
        <v>2</v>
      </c>
      <c r="F30" s="14">
        <v>44658</v>
      </c>
      <c r="G30" s="5" t="s">
        <v>3310</v>
      </c>
      <c r="H30" s="2"/>
      <c r="I30" s="4">
        <v>6998496</v>
      </c>
      <c r="J30" s="4">
        <v>7000000</v>
      </c>
      <c r="K30" s="4">
        <v>0</v>
      </c>
      <c r="L30" s="2"/>
      <c r="M30" s="5" t="s">
        <v>2</v>
      </c>
      <c r="N30" s="5" t="s">
        <v>3775</v>
      </c>
      <c r="O30" s="5" t="s">
        <v>824</v>
      </c>
      <c r="P30" s="21" t="s">
        <v>2</v>
      </c>
      <c r="Q30" s="54" t="s">
        <v>4179</v>
      </c>
    </row>
    <row r="31" spans="2:17" x14ac:dyDescent="0.3">
      <c r="B31" s="18" t="s">
        <v>707</v>
      </c>
      <c r="C31" s="47" t="s">
        <v>2555</v>
      </c>
      <c r="D31" s="15" t="s">
        <v>291</v>
      </c>
      <c r="E31" s="55" t="s">
        <v>2</v>
      </c>
      <c r="F31" s="14">
        <v>44701</v>
      </c>
      <c r="G31" s="5" t="s">
        <v>2979</v>
      </c>
      <c r="H31" s="2"/>
      <c r="I31" s="4">
        <v>4708350</v>
      </c>
      <c r="J31" s="4">
        <v>5000000</v>
      </c>
      <c r="K31" s="4">
        <v>21125</v>
      </c>
      <c r="L31" s="2"/>
      <c r="M31" s="5" t="s">
        <v>3436</v>
      </c>
      <c r="N31" s="5" t="s">
        <v>291</v>
      </c>
      <c r="O31" s="5" t="s">
        <v>2</v>
      </c>
      <c r="P31" s="21" t="s">
        <v>2</v>
      </c>
      <c r="Q31" s="54" t="s">
        <v>4179</v>
      </c>
    </row>
    <row r="32" spans="2:17" x14ac:dyDescent="0.3">
      <c r="B32" s="18" t="s">
        <v>1845</v>
      </c>
      <c r="C32" s="47" t="s">
        <v>3674</v>
      </c>
      <c r="D32" s="15" t="s">
        <v>292</v>
      </c>
      <c r="E32" s="55" t="s">
        <v>2</v>
      </c>
      <c r="F32" s="14">
        <v>44706</v>
      </c>
      <c r="G32" s="5" t="s">
        <v>4454</v>
      </c>
      <c r="H32" s="2"/>
      <c r="I32" s="4">
        <v>5609990</v>
      </c>
      <c r="J32" s="4">
        <v>6210000</v>
      </c>
      <c r="K32" s="4">
        <v>34155</v>
      </c>
      <c r="L32" s="2"/>
      <c r="M32" s="5" t="s">
        <v>1652</v>
      </c>
      <c r="N32" s="5" t="s">
        <v>2303</v>
      </c>
      <c r="O32" s="5" t="s">
        <v>1190</v>
      </c>
      <c r="P32" s="21" t="s">
        <v>2</v>
      </c>
      <c r="Q32" s="54" t="s">
        <v>4179</v>
      </c>
    </row>
    <row r="33" spans="2:17" x14ac:dyDescent="0.3">
      <c r="B33" s="18" t="s">
        <v>2980</v>
      </c>
      <c r="C33" s="47" t="s">
        <v>3079</v>
      </c>
      <c r="D33" s="15" t="s">
        <v>1580</v>
      </c>
      <c r="E33" s="55" t="s">
        <v>2</v>
      </c>
      <c r="F33" s="14">
        <v>44691</v>
      </c>
      <c r="G33" s="5" t="s">
        <v>200</v>
      </c>
      <c r="H33" s="2"/>
      <c r="I33" s="4">
        <v>4995400</v>
      </c>
      <c r="J33" s="4">
        <v>5000000</v>
      </c>
      <c r="K33" s="4">
        <v>0</v>
      </c>
      <c r="L33" s="2"/>
      <c r="M33" s="5" t="s">
        <v>36</v>
      </c>
      <c r="N33" s="5" t="s">
        <v>3080</v>
      </c>
      <c r="O33" s="5" t="s">
        <v>2</v>
      </c>
      <c r="P33" s="21" t="s">
        <v>2</v>
      </c>
      <c r="Q33" s="54" t="s">
        <v>4179</v>
      </c>
    </row>
    <row r="34" spans="2:17" x14ac:dyDescent="0.3">
      <c r="B34" s="18" t="s">
        <v>4121</v>
      </c>
      <c r="C34" s="47" t="s">
        <v>3081</v>
      </c>
      <c r="D34" s="15" t="s">
        <v>1431</v>
      </c>
      <c r="E34" s="55" t="s">
        <v>2</v>
      </c>
      <c r="F34" s="14">
        <v>44621</v>
      </c>
      <c r="G34" s="5" t="s">
        <v>4454</v>
      </c>
      <c r="H34" s="2"/>
      <c r="I34" s="4">
        <v>3746513</v>
      </c>
      <c r="J34" s="4">
        <v>3750000</v>
      </c>
      <c r="K34" s="4">
        <v>0</v>
      </c>
      <c r="L34" s="2"/>
      <c r="M34" s="5" t="s">
        <v>294</v>
      </c>
      <c r="N34" s="5" t="s">
        <v>1431</v>
      </c>
      <c r="O34" s="5" t="s">
        <v>2</v>
      </c>
      <c r="P34" s="21" t="s">
        <v>2</v>
      </c>
      <c r="Q34" s="54" t="s">
        <v>4179</v>
      </c>
    </row>
    <row r="35" spans="2:17" x14ac:dyDescent="0.3">
      <c r="B35" s="18" t="s">
        <v>708</v>
      </c>
      <c r="C35" s="47" t="s">
        <v>4212</v>
      </c>
      <c r="D35" s="15" t="s">
        <v>1431</v>
      </c>
      <c r="E35" s="55" t="s">
        <v>2</v>
      </c>
      <c r="F35" s="14">
        <v>44679</v>
      </c>
      <c r="G35" s="5" t="s">
        <v>920</v>
      </c>
      <c r="H35" s="2"/>
      <c r="I35" s="4">
        <v>4990650</v>
      </c>
      <c r="J35" s="4">
        <v>5000000</v>
      </c>
      <c r="K35" s="4">
        <v>0</v>
      </c>
      <c r="L35" s="2"/>
      <c r="M35" s="5" t="s">
        <v>294</v>
      </c>
      <c r="N35" s="5" t="s">
        <v>1431</v>
      </c>
      <c r="O35" s="5" t="s">
        <v>2</v>
      </c>
      <c r="P35" s="21" t="s">
        <v>2</v>
      </c>
      <c r="Q35" s="54" t="s">
        <v>4179</v>
      </c>
    </row>
    <row r="36" spans="2:17" x14ac:dyDescent="0.3">
      <c r="B36" s="18" t="s">
        <v>2180</v>
      </c>
      <c r="C36" s="47" t="s">
        <v>2307</v>
      </c>
      <c r="D36" s="15" t="s">
        <v>39</v>
      </c>
      <c r="E36" s="55" t="s">
        <v>2</v>
      </c>
      <c r="F36" s="14">
        <v>44649</v>
      </c>
      <c r="G36" s="5" t="s">
        <v>2981</v>
      </c>
      <c r="H36" s="2"/>
      <c r="I36" s="4">
        <v>4975850</v>
      </c>
      <c r="J36" s="4">
        <v>5000000</v>
      </c>
      <c r="K36" s="4">
        <v>0</v>
      </c>
      <c r="L36" s="2"/>
      <c r="M36" s="5" t="s">
        <v>827</v>
      </c>
      <c r="N36" s="5" t="s">
        <v>40</v>
      </c>
      <c r="O36" s="5" t="s">
        <v>2306</v>
      </c>
      <c r="P36" s="21" t="s">
        <v>2</v>
      </c>
      <c r="Q36" s="54" t="s">
        <v>4179</v>
      </c>
    </row>
    <row r="37" spans="2:17" x14ac:dyDescent="0.3">
      <c r="B37" s="18" t="s">
        <v>3311</v>
      </c>
      <c r="C37" s="47" t="s">
        <v>2557</v>
      </c>
      <c r="D37" s="15" t="s">
        <v>1846</v>
      </c>
      <c r="E37" s="55" t="s">
        <v>2</v>
      </c>
      <c r="F37" s="14">
        <v>44609</v>
      </c>
      <c r="G37" s="5" t="s">
        <v>1349</v>
      </c>
      <c r="H37" s="2"/>
      <c r="I37" s="4">
        <v>4984350</v>
      </c>
      <c r="J37" s="4">
        <v>5000000</v>
      </c>
      <c r="K37" s="4">
        <v>0</v>
      </c>
      <c r="L37" s="2"/>
      <c r="M37" s="5" t="s">
        <v>41</v>
      </c>
      <c r="N37" s="5" t="s">
        <v>296</v>
      </c>
      <c r="O37" s="5" t="s">
        <v>2</v>
      </c>
      <c r="P37" s="21" t="s">
        <v>2</v>
      </c>
      <c r="Q37" s="54" t="s">
        <v>4179</v>
      </c>
    </row>
    <row r="38" spans="2:17" x14ac:dyDescent="0.3">
      <c r="B38" s="18" t="s">
        <v>709</v>
      </c>
      <c r="C38" s="47" t="s">
        <v>3265</v>
      </c>
      <c r="D38" s="15" t="s">
        <v>2134</v>
      </c>
      <c r="E38" s="55" t="s">
        <v>2</v>
      </c>
      <c r="F38" s="14">
        <v>44580</v>
      </c>
      <c r="G38" s="5" t="s">
        <v>200</v>
      </c>
      <c r="H38" s="2"/>
      <c r="I38" s="4">
        <v>7681450</v>
      </c>
      <c r="J38" s="4">
        <v>7683000</v>
      </c>
      <c r="K38" s="4">
        <v>0</v>
      </c>
      <c r="L38" s="2"/>
      <c r="M38" s="5" t="s">
        <v>2</v>
      </c>
      <c r="N38" s="5" t="s">
        <v>2429</v>
      </c>
      <c r="O38" s="5" t="s">
        <v>824</v>
      </c>
      <c r="P38" s="21" t="s">
        <v>2</v>
      </c>
      <c r="Q38" s="54" t="s">
        <v>4179</v>
      </c>
    </row>
    <row r="39" spans="2:17" x14ac:dyDescent="0.3">
      <c r="B39" s="18" t="s">
        <v>1847</v>
      </c>
      <c r="C39" s="47" t="s">
        <v>3266</v>
      </c>
      <c r="D39" s="15" t="s">
        <v>2134</v>
      </c>
      <c r="E39" s="55" t="s">
        <v>2</v>
      </c>
      <c r="F39" s="14">
        <v>44580</v>
      </c>
      <c r="G39" s="5" t="s">
        <v>200</v>
      </c>
      <c r="H39" s="2"/>
      <c r="I39" s="4">
        <v>3899826</v>
      </c>
      <c r="J39" s="4">
        <v>3900000</v>
      </c>
      <c r="K39" s="4">
        <v>0</v>
      </c>
      <c r="L39" s="2"/>
      <c r="M39" s="5" t="s">
        <v>2</v>
      </c>
      <c r="N39" s="5" t="s">
        <v>2429</v>
      </c>
      <c r="O39" s="5" t="s">
        <v>824</v>
      </c>
      <c r="P39" s="21" t="s">
        <v>2</v>
      </c>
      <c r="Q39" s="54" t="s">
        <v>4179</v>
      </c>
    </row>
    <row r="40" spans="2:17" x14ac:dyDescent="0.3">
      <c r="B40" s="18" t="s">
        <v>2982</v>
      </c>
      <c r="C40" s="47" t="s">
        <v>1788</v>
      </c>
      <c r="D40" s="15" t="s">
        <v>2134</v>
      </c>
      <c r="E40" s="55" t="s">
        <v>2</v>
      </c>
      <c r="F40" s="14">
        <v>44818</v>
      </c>
      <c r="G40" s="5" t="s">
        <v>1058</v>
      </c>
      <c r="H40" s="2"/>
      <c r="I40" s="4">
        <v>3749405</v>
      </c>
      <c r="J40" s="4">
        <v>3750000</v>
      </c>
      <c r="K40" s="4">
        <v>0</v>
      </c>
      <c r="L40" s="2"/>
      <c r="M40" s="5" t="s">
        <v>2</v>
      </c>
      <c r="N40" s="5" t="s">
        <v>2429</v>
      </c>
      <c r="O40" s="5" t="s">
        <v>824</v>
      </c>
      <c r="P40" s="21" t="s">
        <v>2</v>
      </c>
      <c r="Q40" s="54" t="s">
        <v>4179</v>
      </c>
    </row>
    <row r="41" spans="2:17" x14ac:dyDescent="0.3">
      <c r="B41" s="18" t="s">
        <v>4122</v>
      </c>
      <c r="C41" s="47" t="s">
        <v>1515</v>
      </c>
      <c r="D41" s="15" t="s">
        <v>2134</v>
      </c>
      <c r="E41" s="55" t="s">
        <v>2</v>
      </c>
      <c r="F41" s="14">
        <v>44818</v>
      </c>
      <c r="G41" s="5" t="s">
        <v>1058</v>
      </c>
      <c r="H41" s="2"/>
      <c r="I41" s="4">
        <v>4073731</v>
      </c>
      <c r="J41" s="4">
        <v>4074000</v>
      </c>
      <c r="K41" s="4">
        <v>0</v>
      </c>
      <c r="L41" s="2"/>
      <c r="M41" s="5" t="s">
        <v>2</v>
      </c>
      <c r="N41" s="5" t="s">
        <v>2429</v>
      </c>
      <c r="O41" s="5" t="s">
        <v>824</v>
      </c>
      <c r="P41" s="21" t="s">
        <v>2</v>
      </c>
      <c r="Q41" s="54" t="s">
        <v>4179</v>
      </c>
    </row>
    <row r="42" spans="2:17" x14ac:dyDescent="0.3">
      <c r="B42" s="18" t="s">
        <v>710</v>
      </c>
      <c r="C42" s="47" t="s">
        <v>4046</v>
      </c>
      <c r="D42" s="15" t="s">
        <v>2134</v>
      </c>
      <c r="E42" s="55" t="s">
        <v>2</v>
      </c>
      <c r="F42" s="14">
        <v>44818</v>
      </c>
      <c r="G42" s="5" t="s">
        <v>1058</v>
      </c>
      <c r="H42" s="2"/>
      <c r="I42" s="4">
        <v>7497694</v>
      </c>
      <c r="J42" s="4">
        <v>7500000</v>
      </c>
      <c r="K42" s="4">
        <v>0</v>
      </c>
      <c r="L42" s="2"/>
      <c r="M42" s="5" t="s">
        <v>2</v>
      </c>
      <c r="N42" s="5" t="s">
        <v>2429</v>
      </c>
      <c r="O42" s="5" t="s">
        <v>824</v>
      </c>
      <c r="P42" s="21" t="s">
        <v>2</v>
      </c>
      <c r="Q42" s="54" t="s">
        <v>4179</v>
      </c>
    </row>
    <row r="43" spans="2:17" x14ac:dyDescent="0.3">
      <c r="B43" s="18" t="s">
        <v>1848</v>
      </c>
      <c r="C43" s="47" t="s">
        <v>830</v>
      </c>
      <c r="D43" s="15" t="s">
        <v>3676</v>
      </c>
      <c r="E43" s="55" t="s">
        <v>2</v>
      </c>
      <c r="F43" s="14">
        <v>44615</v>
      </c>
      <c r="G43" s="5" t="s">
        <v>920</v>
      </c>
      <c r="H43" s="2"/>
      <c r="I43" s="4">
        <v>4447508</v>
      </c>
      <c r="J43" s="4">
        <v>4450000</v>
      </c>
      <c r="K43" s="4">
        <v>0</v>
      </c>
      <c r="L43" s="2"/>
      <c r="M43" s="5" t="s">
        <v>2</v>
      </c>
      <c r="N43" s="5" t="s">
        <v>3677</v>
      </c>
      <c r="O43" s="5" t="s">
        <v>1948</v>
      </c>
      <c r="P43" s="21" t="s">
        <v>2</v>
      </c>
      <c r="Q43" s="54" t="s">
        <v>4179</v>
      </c>
    </row>
    <row r="44" spans="2:17" x14ac:dyDescent="0.3">
      <c r="B44" s="18" t="s">
        <v>2983</v>
      </c>
      <c r="C44" s="47" t="s">
        <v>1950</v>
      </c>
      <c r="D44" s="15" t="s">
        <v>3677</v>
      </c>
      <c r="E44" s="55" t="s">
        <v>2</v>
      </c>
      <c r="F44" s="14">
        <v>44811</v>
      </c>
      <c r="G44" s="5" t="s">
        <v>1349</v>
      </c>
      <c r="H44" s="2"/>
      <c r="I44" s="4">
        <v>1998440</v>
      </c>
      <c r="J44" s="4">
        <v>2000000</v>
      </c>
      <c r="K44" s="4">
        <v>0</v>
      </c>
      <c r="L44" s="2"/>
      <c r="M44" s="5" t="s">
        <v>2</v>
      </c>
      <c r="N44" s="5" t="s">
        <v>3677</v>
      </c>
      <c r="O44" s="5" t="s">
        <v>2</v>
      </c>
      <c r="P44" s="21" t="s">
        <v>2</v>
      </c>
      <c r="Q44" s="54" t="s">
        <v>4179</v>
      </c>
    </row>
    <row r="45" spans="2:17" x14ac:dyDescent="0.3">
      <c r="B45" s="18" t="s">
        <v>4455</v>
      </c>
      <c r="C45" s="47" t="s">
        <v>2311</v>
      </c>
      <c r="D45" s="15" t="s">
        <v>2558</v>
      </c>
      <c r="E45" s="55" t="s">
        <v>2</v>
      </c>
      <c r="F45" s="14">
        <v>44867</v>
      </c>
      <c r="G45" s="5" t="s">
        <v>1350</v>
      </c>
      <c r="H45" s="2"/>
      <c r="I45" s="4">
        <v>7215364</v>
      </c>
      <c r="J45" s="4">
        <v>7600000</v>
      </c>
      <c r="K45" s="4">
        <v>153267</v>
      </c>
      <c r="L45" s="2"/>
      <c r="M45" s="5" t="s">
        <v>1951</v>
      </c>
      <c r="N45" s="5" t="s">
        <v>2558</v>
      </c>
      <c r="O45" s="5" t="s">
        <v>2</v>
      </c>
      <c r="P45" s="21" t="s">
        <v>2</v>
      </c>
      <c r="Q45" s="54" t="s">
        <v>4179</v>
      </c>
    </row>
    <row r="46" spans="2:17" x14ac:dyDescent="0.3">
      <c r="B46" s="18" t="s">
        <v>1059</v>
      </c>
      <c r="C46" s="47" t="s">
        <v>43</v>
      </c>
      <c r="D46" s="15" t="s">
        <v>2984</v>
      </c>
      <c r="E46" s="55" t="s">
        <v>2</v>
      </c>
      <c r="F46" s="14">
        <v>44838</v>
      </c>
      <c r="G46" s="5" t="s">
        <v>1581</v>
      </c>
      <c r="H46" s="2"/>
      <c r="I46" s="4">
        <v>5325180</v>
      </c>
      <c r="J46" s="4">
        <v>7000000</v>
      </c>
      <c r="K46" s="4">
        <v>41738</v>
      </c>
      <c r="L46" s="2"/>
      <c r="M46" s="5" t="s">
        <v>1660</v>
      </c>
      <c r="N46" s="5" t="s">
        <v>3678</v>
      </c>
      <c r="O46" s="5" t="s">
        <v>2</v>
      </c>
      <c r="P46" s="21" t="s">
        <v>2</v>
      </c>
      <c r="Q46" s="54" t="s">
        <v>4179</v>
      </c>
    </row>
    <row r="47" spans="2:17" x14ac:dyDescent="0.3">
      <c r="B47" s="18" t="s">
        <v>2181</v>
      </c>
      <c r="C47" s="47" t="s">
        <v>4216</v>
      </c>
      <c r="D47" s="15" t="s">
        <v>2313</v>
      </c>
      <c r="E47" s="55" t="s">
        <v>2</v>
      </c>
      <c r="F47" s="14">
        <v>44622</v>
      </c>
      <c r="G47" s="5" t="s">
        <v>920</v>
      </c>
      <c r="H47" s="2"/>
      <c r="I47" s="4">
        <v>4500000</v>
      </c>
      <c r="J47" s="4">
        <v>4500000</v>
      </c>
      <c r="K47" s="4">
        <v>0</v>
      </c>
      <c r="L47" s="2"/>
      <c r="M47" s="5" t="s">
        <v>2</v>
      </c>
      <c r="N47" s="5" t="s">
        <v>3923</v>
      </c>
      <c r="O47" s="5" t="s">
        <v>824</v>
      </c>
      <c r="P47" s="21" t="s">
        <v>2</v>
      </c>
      <c r="Q47" s="54" t="s">
        <v>4179</v>
      </c>
    </row>
    <row r="48" spans="2:17" x14ac:dyDescent="0.3">
      <c r="B48" s="18" t="s">
        <v>4123</v>
      </c>
      <c r="C48" s="47" t="s">
        <v>3679</v>
      </c>
      <c r="D48" s="15" t="s">
        <v>2693</v>
      </c>
      <c r="E48" s="55" t="s">
        <v>2</v>
      </c>
      <c r="F48" s="14">
        <v>44706</v>
      </c>
      <c r="G48" s="5" t="s">
        <v>2979</v>
      </c>
      <c r="H48" s="2"/>
      <c r="I48" s="4">
        <v>5431860</v>
      </c>
      <c r="J48" s="4">
        <v>6000000</v>
      </c>
      <c r="K48" s="4">
        <v>62700</v>
      </c>
      <c r="L48" s="2"/>
      <c r="M48" s="5" t="s">
        <v>531</v>
      </c>
      <c r="N48" s="5" t="s">
        <v>44</v>
      </c>
      <c r="O48" s="5" t="s">
        <v>2</v>
      </c>
      <c r="P48" s="21" t="s">
        <v>2</v>
      </c>
      <c r="Q48" s="54" t="s">
        <v>4179</v>
      </c>
    </row>
    <row r="49" spans="2:17" x14ac:dyDescent="0.3">
      <c r="B49" s="18" t="s">
        <v>711</v>
      </c>
      <c r="C49" s="47" t="s">
        <v>2314</v>
      </c>
      <c r="D49" s="15" t="s">
        <v>2182</v>
      </c>
      <c r="E49" s="55" t="s">
        <v>2</v>
      </c>
      <c r="F49" s="14">
        <v>44715</v>
      </c>
      <c r="G49" s="5" t="s">
        <v>1058</v>
      </c>
      <c r="H49" s="2"/>
      <c r="I49" s="4">
        <v>4857650</v>
      </c>
      <c r="J49" s="4">
        <v>5000000</v>
      </c>
      <c r="K49" s="4">
        <v>3958</v>
      </c>
      <c r="L49" s="2"/>
      <c r="M49" s="5" t="s">
        <v>1661</v>
      </c>
      <c r="N49" s="5" t="s">
        <v>3087</v>
      </c>
      <c r="O49" s="5" t="s">
        <v>2</v>
      </c>
      <c r="P49" s="21" t="s">
        <v>2</v>
      </c>
      <c r="Q49" s="54" t="s">
        <v>4179</v>
      </c>
    </row>
    <row r="50" spans="2:17" x14ac:dyDescent="0.3">
      <c r="B50" s="18" t="s">
        <v>1849</v>
      </c>
      <c r="C50" s="47" t="s">
        <v>1666</v>
      </c>
      <c r="D50" s="15" t="s">
        <v>46</v>
      </c>
      <c r="E50" s="55" t="s">
        <v>2</v>
      </c>
      <c r="F50" s="14">
        <v>44648</v>
      </c>
      <c r="G50" s="5" t="s">
        <v>920</v>
      </c>
      <c r="H50" s="2"/>
      <c r="I50" s="4">
        <v>4994750</v>
      </c>
      <c r="J50" s="4">
        <v>5000000</v>
      </c>
      <c r="K50" s="4">
        <v>0</v>
      </c>
      <c r="L50" s="2"/>
      <c r="M50" s="5" t="s">
        <v>298</v>
      </c>
      <c r="N50" s="5" t="s">
        <v>3442</v>
      </c>
      <c r="O50" s="5" t="s">
        <v>824</v>
      </c>
      <c r="P50" s="21" t="s">
        <v>2</v>
      </c>
      <c r="Q50" s="54" t="s">
        <v>4179</v>
      </c>
    </row>
    <row r="51" spans="2:17" x14ac:dyDescent="0.3">
      <c r="B51" s="18" t="s">
        <v>2985</v>
      </c>
      <c r="C51" s="47" t="s">
        <v>3927</v>
      </c>
      <c r="D51" s="15" t="s">
        <v>201</v>
      </c>
      <c r="E51" s="55" t="s">
        <v>2</v>
      </c>
      <c r="F51" s="14">
        <v>44593</v>
      </c>
      <c r="G51" s="5" t="s">
        <v>200</v>
      </c>
      <c r="H51" s="2"/>
      <c r="I51" s="4">
        <v>5000000</v>
      </c>
      <c r="J51" s="4">
        <v>5000000</v>
      </c>
      <c r="K51" s="4">
        <v>0</v>
      </c>
      <c r="L51" s="2"/>
      <c r="M51" s="5" t="s">
        <v>834</v>
      </c>
      <c r="N51" s="5" t="s">
        <v>1667</v>
      </c>
      <c r="O51" s="5" t="s">
        <v>2</v>
      </c>
      <c r="P51" s="21" t="s">
        <v>2</v>
      </c>
      <c r="Q51" s="54" t="s">
        <v>4179</v>
      </c>
    </row>
    <row r="52" spans="2:17" x14ac:dyDescent="0.3">
      <c r="B52" s="18" t="s">
        <v>4124</v>
      </c>
      <c r="C52" s="47" t="s">
        <v>299</v>
      </c>
      <c r="D52" s="15" t="s">
        <v>2561</v>
      </c>
      <c r="E52" s="55" t="s">
        <v>2</v>
      </c>
      <c r="F52" s="14">
        <v>44761</v>
      </c>
      <c r="G52" s="5" t="s">
        <v>1060</v>
      </c>
      <c r="H52" s="2"/>
      <c r="I52" s="4">
        <v>5004440</v>
      </c>
      <c r="J52" s="4">
        <v>5000000</v>
      </c>
      <c r="K52" s="4">
        <v>0</v>
      </c>
      <c r="L52" s="2"/>
      <c r="M52" s="5" t="s">
        <v>3680</v>
      </c>
      <c r="N52" s="5" t="s">
        <v>2561</v>
      </c>
      <c r="O52" s="5" t="s">
        <v>2</v>
      </c>
      <c r="P52" s="21" t="s">
        <v>2</v>
      </c>
      <c r="Q52" s="54" t="s">
        <v>4179</v>
      </c>
    </row>
    <row r="53" spans="2:17" x14ac:dyDescent="0.3">
      <c r="B53" s="18" t="s">
        <v>1061</v>
      </c>
      <c r="C53" s="47" t="s">
        <v>2786</v>
      </c>
      <c r="D53" s="15" t="s">
        <v>47</v>
      </c>
      <c r="E53" s="55" t="s">
        <v>2</v>
      </c>
      <c r="F53" s="14">
        <v>44853</v>
      </c>
      <c r="G53" s="5" t="s">
        <v>1349</v>
      </c>
      <c r="H53" s="2"/>
      <c r="I53" s="4">
        <v>4982690</v>
      </c>
      <c r="J53" s="4">
        <v>5000000</v>
      </c>
      <c r="K53" s="4">
        <v>0</v>
      </c>
      <c r="L53" s="2"/>
      <c r="M53" s="5" t="s">
        <v>1433</v>
      </c>
      <c r="N53" s="5" t="s">
        <v>47</v>
      </c>
      <c r="O53" s="5" t="s">
        <v>2</v>
      </c>
      <c r="P53" s="21" t="s">
        <v>2</v>
      </c>
      <c r="Q53" s="54" t="s">
        <v>4179</v>
      </c>
    </row>
    <row r="54" spans="2:17" x14ac:dyDescent="0.3">
      <c r="B54" s="18" t="s">
        <v>2183</v>
      </c>
      <c r="C54" s="47" t="s">
        <v>2787</v>
      </c>
      <c r="D54" s="15" t="s">
        <v>2316</v>
      </c>
      <c r="E54" s="55" t="s">
        <v>2</v>
      </c>
      <c r="F54" s="14">
        <v>44726</v>
      </c>
      <c r="G54" s="5" t="s">
        <v>4453</v>
      </c>
      <c r="H54" s="2"/>
      <c r="I54" s="4">
        <v>3999840</v>
      </c>
      <c r="J54" s="4">
        <v>4000000</v>
      </c>
      <c r="K54" s="4">
        <v>37521</v>
      </c>
      <c r="L54" s="2"/>
      <c r="M54" s="5" t="s">
        <v>838</v>
      </c>
      <c r="N54" s="5" t="s">
        <v>533</v>
      </c>
      <c r="O54" s="5" t="s">
        <v>3443</v>
      </c>
      <c r="P54" s="21" t="s">
        <v>2</v>
      </c>
      <c r="Q54" s="54" t="s">
        <v>4179</v>
      </c>
    </row>
    <row r="55" spans="2:17" x14ac:dyDescent="0.3">
      <c r="B55" s="18" t="s">
        <v>3312</v>
      </c>
      <c r="C55" s="47" t="s">
        <v>1959</v>
      </c>
      <c r="D55" s="15" t="s">
        <v>48</v>
      </c>
      <c r="E55" s="55" t="s">
        <v>2</v>
      </c>
      <c r="F55" s="14">
        <v>44648</v>
      </c>
      <c r="G55" s="5" t="s">
        <v>457</v>
      </c>
      <c r="H55" s="2"/>
      <c r="I55" s="4">
        <v>2525000</v>
      </c>
      <c r="J55" s="4">
        <v>2500000</v>
      </c>
      <c r="K55" s="4">
        <v>25391</v>
      </c>
      <c r="L55" s="2"/>
      <c r="M55" s="5" t="s">
        <v>2</v>
      </c>
      <c r="N55" s="5" t="s">
        <v>2318</v>
      </c>
      <c r="O55" s="5" t="s">
        <v>824</v>
      </c>
      <c r="P55" s="21" t="s">
        <v>2</v>
      </c>
      <c r="Q55" s="54" t="s">
        <v>4179</v>
      </c>
    </row>
    <row r="56" spans="2:17" x14ac:dyDescent="0.3">
      <c r="B56" s="18" t="s">
        <v>4456</v>
      </c>
      <c r="C56" s="47" t="s">
        <v>49</v>
      </c>
      <c r="D56" s="15" t="s">
        <v>2562</v>
      </c>
      <c r="E56" s="55" t="s">
        <v>2</v>
      </c>
      <c r="F56" s="14">
        <v>44845</v>
      </c>
      <c r="G56" s="5" t="s">
        <v>1581</v>
      </c>
      <c r="H56" s="2"/>
      <c r="I56" s="4">
        <v>4937850</v>
      </c>
      <c r="J56" s="4">
        <v>5000000</v>
      </c>
      <c r="K56" s="4">
        <v>0</v>
      </c>
      <c r="L56" s="2"/>
      <c r="M56" s="5" t="s">
        <v>2</v>
      </c>
      <c r="N56" s="5" t="s">
        <v>2562</v>
      </c>
      <c r="O56" s="5" t="s">
        <v>2</v>
      </c>
      <c r="P56" s="21" t="s">
        <v>2</v>
      </c>
      <c r="Q56" s="54" t="s">
        <v>4179</v>
      </c>
    </row>
    <row r="57" spans="2:17" x14ac:dyDescent="0.3">
      <c r="B57" s="18" t="s">
        <v>1062</v>
      </c>
      <c r="C57" s="47" t="s">
        <v>2790</v>
      </c>
      <c r="D57" s="15" t="s">
        <v>2320</v>
      </c>
      <c r="E57" s="55" t="s">
        <v>2</v>
      </c>
      <c r="F57" s="14">
        <v>44599</v>
      </c>
      <c r="G57" s="5" t="s">
        <v>200</v>
      </c>
      <c r="H57" s="2"/>
      <c r="I57" s="4">
        <v>3967500</v>
      </c>
      <c r="J57" s="4">
        <v>4000000</v>
      </c>
      <c r="K57" s="4">
        <v>14444</v>
      </c>
      <c r="L57" s="2"/>
      <c r="M57" s="5" t="s">
        <v>535</v>
      </c>
      <c r="N57" s="5" t="s">
        <v>301</v>
      </c>
      <c r="O57" s="5" t="s">
        <v>824</v>
      </c>
      <c r="P57" s="21" t="s">
        <v>2</v>
      </c>
      <c r="Q57" s="54" t="s">
        <v>4179</v>
      </c>
    </row>
    <row r="58" spans="2:17" x14ac:dyDescent="0.3">
      <c r="B58" s="18" t="s">
        <v>2986</v>
      </c>
      <c r="C58" s="47" t="s">
        <v>3098</v>
      </c>
      <c r="D58" s="15" t="s">
        <v>4229</v>
      </c>
      <c r="E58" s="55" t="s">
        <v>2</v>
      </c>
      <c r="F58" s="14">
        <v>44651</v>
      </c>
      <c r="G58" s="5" t="s">
        <v>3850</v>
      </c>
      <c r="H58" s="2"/>
      <c r="I58" s="4">
        <v>4997550</v>
      </c>
      <c r="J58" s="4">
        <v>5000000</v>
      </c>
      <c r="K58" s="4">
        <v>0</v>
      </c>
      <c r="L58" s="2"/>
      <c r="M58" s="5" t="s">
        <v>1434</v>
      </c>
      <c r="N58" s="5" t="s">
        <v>2322</v>
      </c>
      <c r="O58" s="5" t="s">
        <v>824</v>
      </c>
      <c r="P58" s="21" t="s">
        <v>2</v>
      </c>
      <c r="Q58" s="54" t="s">
        <v>4179</v>
      </c>
    </row>
    <row r="59" spans="2:17" x14ac:dyDescent="0.3">
      <c r="B59" s="18" t="s">
        <v>4125</v>
      </c>
      <c r="C59" s="47" t="s">
        <v>3100</v>
      </c>
      <c r="D59" s="15" t="s">
        <v>2323</v>
      </c>
      <c r="E59" s="55" t="s">
        <v>2</v>
      </c>
      <c r="F59" s="14">
        <v>44775</v>
      </c>
      <c r="G59" s="5" t="s">
        <v>2981</v>
      </c>
      <c r="H59" s="2"/>
      <c r="I59" s="4">
        <v>5000000</v>
      </c>
      <c r="J59" s="4">
        <v>5000000</v>
      </c>
      <c r="K59" s="4">
        <v>0</v>
      </c>
      <c r="L59" s="2"/>
      <c r="M59" s="5" t="s">
        <v>4230</v>
      </c>
      <c r="N59" s="5" t="s">
        <v>306</v>
      </c>
      <c r="O59" s="5" t="s">
        <v>824</v>
      </c>
      <c r="P59" s="21" t="s">
        <v>2</v>
      </c>
      <c r="Q59" s="54" t="s">
        <v>4179</v>
      </c>
    </row>
    <row r="60" spans="2:17" x14ac:dyDescent="0.3">
      <c r="B60" s="18" t="s">
        <v>712</v>
      </c>
      <c r="C60" s="47" t="s">
        <v>1196</v>
      </c>
      <c r="D60" s="15" t="s">
        <v>202</v>
      </c>
      <c r="E60" s="55" t="s">
        <v>2</v>
      </c>
      <c r="F60" s="14">
        <v>44769</v>
      </c>
      <c r="G60" s="5" t="s">
        <v>1060</v>
      </c>
      <c r="H60" s="2"/>
      <c r="I60" s="4">
        <v>3971606</v>
      </c>
      <c r="J60" s="4">
        <v>4875000</v>
      </c>
      <c r="K60" s="4">
        <v>42934</v>
      </c>
      <c r="L60" s="2"/>
      <c r="M60" s="5" t="s">
        <v>4232</v>
      </c>
      <c r="N60" s="5" t="s">
        <v>2324</v>
      </c>
      <c r="O60" s="5" t="s">
        <v>2</v>
      </c>
      <c r="P60" s="21" t="s">
        <v>2</v>
      </c>
      <c r="Q60" s="54" t="s">
        <v>4179</v>
      </c>
    </row>
    <row r="61" spans="2:17" x14ac:dyDescent="0.3">
      <c r="B61" s="18" t="s">
        <v>1850</v>
      </c>
      <c r="C61" s="47" t="s">
        <v>3268</v>
      </c>
      <c r="D61" s="15" t="s">
        <v>4409</v>
      </c>
      <c r="E61" s="55" t="s">
        <v>2</v>
      </c>
      <c r="F61" s="14">
        <v>44673</v>
      </c>
      <c r="G61" s="5" t="s">
        <v>3313</v>
      </c>
      <c r="H61" s="2"/>
      <c r="I61" s="4">
        <v>3305001</v>
      </c>
      <c r="J61" s="4">
        <v>3305722</v>
      </c>
      <c r="K61" s="4">
        <v>0</v>
      </c>
      <c r="L61" s="2"/>
      <c r="M61" s="5" t="s">
        <v>2</v>
      </c>
      <c r="N61" s="5" t="s">
        <v>1791</v>
      </c>
      <c r="O61" s="5" t="s">
        <v>824</v>
      </c>
      <c r="P61" s="21" t="s">
        <v>2</v>
      </c>
      <c r="Q61" s="54" t="s">
        <v>4179</v>
      </c>
    </row>
    <row r="62" spans="2:17" x14ac:dyDescent="0.3">
      <c r="B62" s="18" t="s">
        <v>3314</v>
      </c>
      <c r="C62" s="47" t="s">
        <v>3269</v>
      </c>
      <c r="D62" s="15" t="s">
        <v>4409</v>
      </c>
      <c r="E62" s="55" t="s">
        <v>2</v>
      </c>
      <c r="F62" s="14">
        <v>44673</v>
      </c>
      <c r="G62" s="5" t="s">
        <v>3313</v>
      </c>
      <c r="H62" s="2"/>
      <c r="I62" s="4">
        <v>1239345</v>
      </c>
      <c r="J62" s="4">
        <v>1239648</v>
      </c>
      <c r="K62" s="4">
        <v>0</v>
      </c>
      <c r="L62" s="2"/>
      <c r="M62" s="5" t="s">
        <v>2</v>
      </c>
      <c r="N62" s="5" t="s">
        <v>1791</v>
      </c>
      <c r="O62" s="5" t="s">
        <v>824</v>
      </c>
      <c r="P62" s="21" t="s">
        <v>2</v>
      </c>
      <c r="Q62" s="54" t="s">
        <v>4179</v>
      </c>
    </row>
    <row r="63" spans="2:17" x14ac:dyDescent="0.3">
      <c r="B63" s="18" t="s">
        <v>4457</v>
      </c>
      <c r="C63" s="47" t="s">
        <v>1008</v>
      </c>
      <c r="D63" s="15" t="s">
        <v>1009</v>
      </c>
      <c r="E63" s="55" t="s">
        <v>2</v>
      </c>
      <c r="F63" s="14">
        <v>44720</v>
      </c>
      <c r="G63" s="5" t="s">
        <v>1582</v>
      </c>
      <c r="H63" s="2"/>
      <c r="I63" s="4">
        <v>4999926</v>
      </c>
      <c r="J63" s="4">
        <v>5000000</v>
      </c>
      <c r="K63" s="4">
        <v>0</v>
      </c>
      <c r="L63" s="2"/>
      <c r="M63" s="5" t="s">
        <v>2</v>
      </c>
      <c r="N63" s="5" t="s">
        <v>2434</v>
      </c>
      <c r="O63" s="5" t="s">
        <v>824</v>
      </c>
      <c r="P63" s="21" t="s">
        <v>2</v>
      </c>
      <c r="Q63" s="54" t="s">
        <v>4179</v>
      </c>
    </row>
    <row r="64" spans="2:17" x14ac:dyDescent="0.3">
      <c r="B64" s="18" t="s">
        <v>1063</v>
      </c>
      <c r="C64" s="47" t="s">
        <v>3566</v>
      </c>
      <c r="D64" s="15" t="s">
        <v>1009</v>
      </c>
      <c r="E64" s="55" t="s">
        <v>2</v>
      </c>
      <c r="F64" s="14">
        <v>44720</v>
      </c>
      <c r="G64" s="5" t="s">
        <v>1582</v>
      </c>
      <c r="H64" s="2"/>
      <c r="I64" s="4">
        <v>7969029</v>
      </c>
      <c r="J64" s="4">
        <v>7970000</v>
      </c>
      <c r="K64" s="4">
        <v>0</v>
      </c>
      <c r="L64" s="2"/>
      <c r="M64" s="5" t="s">
        <v>2</v>
      </c>
      <c r="N64" s="5" t="s">
        <v>2434</v>
      </c>
      <c r="O64" s="5" t="s">
        <v>824</v>
      </c>
      <c r="P64" s="21" t="s">
        <v>2</v>
      </c>
      <c r="Q64" s="54" t="s">
        <v>4179</v>
      </c>
    </row>
    <row r="65" spans="2:17" x14ac:dyDescent="0.3">
      <c r="B65" s="18" t="s">
        <v>2184</v>
      </c>
      <c r="C65" s="47" t="s">
        <v>3567</v>
      </c>
      <c r="D65" s="15" t="s">
        <v>1009</v>
      </c>
      <c r="E65" s="55" t="s">
        <v>2</v>
      </c>
      <c r="F65" s="14">
        <v>44720</v>
      </c>
      <c r="G65" s="5" t="s">
        <v>1582</v>
      </c>
      <c r="H65" s="2"/>
      <c r="I65" s="4">
        <v>999992</v>
      </c>
      <c r="J65" s="4">
        <v>1000000</v>
      </c>
      <c r="K65" s="4">
        <v>0</v>
      </c>
      <c r="L65" s="2"/>
      <c r="M65" s="5" t="s">
        <v>2</v>
      </c>
      <c r="N65" s="5" t="s">
        <v>2434</v>
      </c>
      <c r="O65" s="5" t="s">
        <v>824</v>
      </c>
      <c r="P65" s="21" t="s">
        <v>2</v>
      </c>
      <c r="Q65" s="54" t="s">
        <v>4179</v>
      </c>
    </row>
    <row r="66" spans="2:17" x14ac:dyDescent="0.3">
      <c r="B66" s="18" t="s">
        <v>3315</v>
      </c>
      <c r="C66" s="47" t="s">
        <v>3684</v>
      </c>
      <c r="D66" s="15" t="s">
        <v>2476</v>
      </c>
      <c r="E66" s="55" t="s">
        <v>2</v>
      </c>
      <c r="F66" s="14">
        <v>44714</v>
      </c>
      <c r="G66" s="5" t="s">
        <v>2185</v>
      </c>
      <c r="H66" s="2"/>
      <c r="I66" s="4">
        <v>5961920</v>
      </c>
      <c r="J66" s="4">
        <v>6200000</v>
      </c>
      <c r="K66" s="4">
        <v>23508</v>
      </c>
      <c r="L66" s="2"/>
      <c r="M66" s="5" t="s">
        <v>1436</v>
      </c>
      <c r="N66" s="5" t="s">
        <v>4235</v>
      </c>
      <c r="O66" s="5" t="s">
        <v>2</v>
      </c>
      <c r="P66" s="21" t="s">
        <v>2</v>
      </c>
      <c r="Q66" s="54" t="s">
        <v>4179</v>
      </c>
    </row>
    <row r="67" spans="2:17" x14ac:dyDescent="0.3">
      <c r="B67" s="18" t="s">
        <v>4458</v>
      </c>
      <c r="C67" s="47" t="s">
        <v>4236</v>
      </c>
      <c r="D67" s="15" t="s">
        <v>1583</v>
      </c>
      <c r="E67" s="55" t="s">
        <v>2</v>
      </c>
      <c r="F67" s="14">
        <v>44918</v>
      </c>
      <c r="G67" s="5" t="s">
        <v>4453</v>
      </c>
      <c r="H67" s="2"/>
      <c r="I67" s="4">
        <v>7165342</v>
      </c>
      <c r="J67" s="4">
        <v>7000000</v>
      </c>
      <c r="K67" s="4">
        <v>28817</v>
      </c>
      <c r="L67" s="2"/>
      <c r="M67" s="5" t="s">
        <v>2</v>
      </c>
      <c r="N67" s="5" t="s">
        <v>4237</v>
      </c>
      <c r="O67" s="5" t="s">
        <v>2</v>
      </c>
      <c r="P67" s="21" t="s">
        <v>2</v>
      </c>
      <c r="Q67" s="54" t="s">
        <v>4179</v>
      </c>
    </row>
    <row r="68" spans="2:17" x14ac:dyDescent="0.3">
      <c r="B68" s="18" t="s">
        <v>1851</v>
      </c>
      <c r="C68" s="47" t="s">
        <v>1437</v>
      </c>
      <c r="D68" s="15" t="s">
        <v>4239</v>
      </c>
      <c r="E68" s="55" t="s">
        <v>2</v>
      </c>
      <c r="F68" s="14">
        <v>44622</v>
      </c>
      <c r="G68" s="5" t="s">
        <v>920</v>
      </c>
      <c r="H68" s="2"/>
      <c r="I68" s="4">
        <v>4450000</v>
      </c>
      <c r="J68" s="4">
        <v>4450000</v>
      </c>
      <c r="K68" s="4">
        <v>0</v>
      </c>
      <c r="L68" s="2"/>
      <c r="M68" s="5" t="s">
        <v>4240</v>
      </c>
      <c r="N68" s="5" t="s">
        <v>1970</v>
      </c>
      <c r="O68" s="5" t="s">
        <v>3686</v>
      </c>
      <c r="P68" s="21" t="s">
        <v>2</v>
      </c>
      <c r="Q68" s="54" t="s">
        <v>4179</v>
      </c>
    </row>
    <row r="69" spans="2:17" x14ac:dyDescent="0.3">
      <c r="B69" s="18" t="s">
        <v>2987</v>
      </c>
      <c r="C69" s="47" t="s">
        <v>2565</v>
      </c>
      <c r="D69" s="15" t="s">
        <v>4239</v>
      </c>
      <c r="E69" s="55" t="s">
        <v>2</v>
      </c>
      <c r="F69" s="14">
        <v>44686</v>
      </c>
      <c r="G69" s="5" t="s">
        <v>920</v>
      </c>
      <c r="H69" s="2"/>
      <c r="I69" s="4">
        <v>5000000</v>
      </c>
      <c r="J69" s="4">
        <v>5000000</v>
      </c>
      <c r="K69" s="4">
        <v>0</v>
      </c>
      <c r="L69" s="2"/>
      <c r="M69" s="5" t="s">
        <v>4240</v>
      </c>
      <c r="N69" s="5" t="s">
        <v>1970</v>
      </c>
      <c r="O69" s="5" t="s">
        <v>3686</v>
      </c>
      <c r="P69" s="21" t="s">
        <v>2</v>
      </c>
      <c r="Q69" s="54" t="s">
        <v>4179</v>
      </c>
    </row>
    <row r="70" spans="2:17" x14ac:dyDescent="0.3">
      <c r="B70" s="18" t="s">
        <v>4459</v>
      </c>
      <c r="C70" s="47" t="s">
        <v>3933</v>
      </c>
      <c r="D70" s="15" t="s">
        <v>4239</v>
      </c>
      <c r="E70" s="55" t="s">
        <v>2</v>
      </c>
      <c r="F70" s="14">
        <v>44767</v>
      </c>
      <c r="G70" s="5" t="s">
        <v>920</v>
      </c>
      <c r="H70" s="2"/>
      <c r="I70" s="4">
        <v>3000000</v>
      </c>
      <c r="J70" s="4">
        <v>3000000</v>
      </c>
      <c r="K70" s="4">
        <v>0</v>
      </c>
      <c r="L70" s="2"/>
      <c r="M70" s="5" t="s">
        <v>4240</v>
      </c>
      <c r="N70" s="5" t="s">
        <v>1970</v>
      </c>
      <c r="O70" s="5" t="s">
        <v>3686</v>
      </c>
      <c r="P70" s="21" t="s">
        <v>2</v>
      </c>
      <c r="Q70" s="54" t="s">
        <v>4179</v>
      </c>
    </row>
    <row r="71" spans="2:17" x14ac:dyDescent="0.3">
      <c r="B71" s="18" t="s">
        <v>1064</v>
      </c>
      <c r="C71" s="47" t="s">
        <v>3687</v>
      </c>
      <c r="D71" s="15" t="s">
        <v>543</v>
      </c>
      <c r="E71" s="55" t="s">
        <v>2</v>
      </c>
      <c r="F71" s="14">
        <v>44750</v>
      </c>
      <c r="G71" s="5" t="s">
        <v>1060</v>
      </c>
      <c r="H71" s="2"/>
      <c r="I71" s="4">
        <v>9996680</v>
      </c>
      <c r="J71" s="4">
        <v>10000000</v>
      </c>
      <c r="K71" s="4">
        <v>0</v>
      </c>
      <c r="L71" s="2"/>
      <c r="M71" s="5" t="s">
        <v>3934</v>
      </c>
      <c r="N71" s="5" t="s">
        <v>543</v>
      </c>
      <c r="O71" s="5" t="s">
        <v>2</v>
      </c>
      <c r="P71" s="21" t="s">
        <v>2</v>
      </c>
      <c r="Q71" s="54" t="s">
        <v>4179</v>
      </c>
    </row>
    <row r="72" spans="2:17" x14ac:dyDescent="0.3">
      <c r="B72" s="18" t="s">
        <v>2186</v>
      </c>
      <c r="C72" s="47" t="s">
        <v>3450</v>
      </c>
      <c r="D72" s="15" t="s">
        <v>2570</v>
      </c>
      <c r="E72" s="55" t="s">
        <v>2</v>
      </c>
      <c r="F72" s="14">
        <v>44588</v>
      </c>
      <c r="G72" s="5" t="s">
        <v>2981</v>
      </c>
      <c r="H72" s="2"/>
      <c r="I72" s="4">
        <v>8000000</v>
      </c>
      <c r="J72" s="4">
        <v>8000000</v>
      </c>
      <c r="K72" s="4">
        <v>0</v>
      </c>
      <c r="L72" s="2"/>
      <c r="M72" s="5" t="s">
        <v>2</v>
      </c>
      <c r="N72" s="5" t="s">
        <v>3106</v>
      </c>
      <c r="O72" s="5" t="s">
        <v>546</v>
      </c>
      <c r="P72" s="21" t="s">
        <v>2</v>
      </c>
      <c r="Q72" s="54" t="s">
        <v>4179</v>
      </c>
    </row>
    <row r="73" spans="2:17" x14ac:dyDescent="0.3">
      <c r="B73" s="18" t="s">
        <v>3316</v>
      </c>
      <c r="C73" s="47" t="s">
        <v>1440</v>
      </c>
      <c r="D73" s="15" t="s">
        <v>3317</v>
      </c>
      <c r="E73" s="55" t="s">
        <v>2</v>
      </c>
      <c r="F73" s="14">
        <v>44608</v>
      </c>
      <c r="G73" s="5" t="s">
        <v>1349</v>
      </c>
      <c r="H73" s="2"/>
      <c r="I73" s="4">
        <v>5000000</v>
      </c>
      <c r="J73" s="4">
        <v>5000000</v>
      </c>
      <c r="K73" s="4">
        <v>0</v>
      </c>
      <c r="L73" s="2"/>
      <c r="M73" s="5" t="s">
        <v>1209</v>
      </c>
      <c r="N73" s="5" t="s">
        <v>856</v>
      </c>
      <c r="O73" s="5" t="s">
        <v>2</v>
      </c>
      <c r="P73" s="21" t="s">
        <v>2</v>
      </c>
      <c r="Q73" s="54" t="s">
        <v>4179</v>
      </c>
    </row>
    <row r="74" spans="2:17" x14ac:dyDescent="0.3">
      <c r="B74" s="18" t="s">
        <v>4460</v>
      </c>
      <c r="C74" s="47" t="s">
        <v>3452</v>
      </c>
      <c r="D74" s="15" t="s">
        <v>4245</v>
      </c>
      <c r="E74" s="55" t="s">
        <v>2</v>
      </c>
      <c r="F74" s="14">
        <v>44720</v>
      </c>
      <c r="G74" s="5" t="s">
        <v>4461</v>
      </c>
      <c r="H74" s="2"/>
      <c r="I74" s="4">
        <v>1935000</v>
      </c>
      <c r="J74" s="4">
        <v>2000000</v>
      </c>
      <c r="K74" s="4">
        <v>41285</v>
      </c>
      <c r="L74" s="2"/>
      <c r="M74" s="5" t="s">
        <v>2</v>
      </c>
      <c r="N74" s="5" t="s">
        <v>3110</v>
      </c>
      <c r="O74" s="5" t="s">
        <v>824</v>
      </c>
      <c r="P74" s="21" t="s">
        <v>2</v>
      </c>
      <c r="Q74" s="54" t="s">
        <v>4179</v>
      </c>
    </row>
    <row r="75" spans="2:17" x14ac:dyDescent="0.3">
      <c r="B75" s="18" t="s">
        <v>1065</v>
      </c>
      <c r="C75" s="47" t="s">
        <v>1978</v>
      </c>
      <c r="D75" s="15" t="s">
        <v>713</v>
      </c>
      <c r="E75" s="55" t="s">
        <v>2</v>
      </c>
      <c r="F75" s="14">
        <v>44791</v>
      </c>
      <c r="G75" s="5" t="s">
        <v>1060</v>
      </c>
      <c r="H75" s="2"/>
      <c r="I75" s="4">
        <v>5004800</v>
      </c>
      <c r="J75" s="4">
        <v>5000000</v>
      </c>
      <c r="K75" s="4">
        <v>0</v>
      </c>
      <c r="L75" s="2"/>
      <c r="M75" s="5" t="s">
        <v>1210</v>
      </c>
      <c r="N75" s="5" t="s">
        <v>3112</v>
      </c>
      <c r="O75" s="5" t="s">
        <v>2</v>
      </c>
      <c r="P75" s="21" t="s">
        <v>2</v>
      </c>
      <c r="Q75" s="54" t="s">
        <v>4179</v>
      </c>
    </row>
    <row r="76" spans="2:17" x14ac:dyDescent="0.3">
      <c r="B76" s="18" t="s">
        <v>2187</v>
      </c>
      <c r="C76" s="47" t="s">
        <v>69</v>
      </c>
      <c r="D76" s="15" t="s">
        <v>3455</v>
      </c>
      <c r="E76" s="55" t="s">
        <v>2</v>
      </c>
      <c r="F76" s="14">
        <v>44572</v>
      </c>
      <c r="G76" s="5" t="s">
        <v>1350</v>
      </c>
      <c r="H76" s="2"/>
      <c r="I76" s="4">
        <v>3968874</v>
      </c>
      <c r="J76" s="4">
        <v>4200000</v>
      </c>
      <c r="K76" s="4">
        <v>9427</v>
      </c>
      <c r="L76" s="2"/>
      <c r="M76" s="5" t="s">
        <v>2338</v>
      </c>
      <c r="N76" s="5" t="s">
        <v>3456</v>
      </c>
      <c r="O76" s="5" t="s">
        <v>3457</v>
      </c>
      <c r="P76" s="21" t="s">
        <v>2</v>
      </c>
      <c r="Q76" s="54" t="s">
        <v>4179</v>
      </c>
    </row>
    <row r="77" spans="2:17" x14ac:dyDescent="0.3">
      <c r="B77" s="18" t="s">
        <v>3318</v>
      </c>
      <c r="C77" s="47" t="s">
        <v>2804</v>
      </c>
      <c r="D77" s="15" t="s">
        <v>3319</v>
      </c>
      <c r="E77" s="55" t="s">
        <v>2</v>
      </c>
      <c r="F77" s="14">
        <v>44690</v>
      </c>
      <c r="G77" s="5" t="s">
        <v>4453</v>
      </c>
      <c r="H77" s="2"/>
      <c r="I77" s="4">
        <v>3057423</v>
      </c>
      <c r="J77" s="4">
        <v>3000000</v>
      </c>
      <c r="K77" s="4">
        <v>11875</v>
      </c>
      <c r="L77" s="2"/>
      <c r="M77" s="5" t="s">
        <v>3689</v>
      </c>
      <c r="N77" s="5" t="s">
        <v>1211</v>
      </c>
      <c r="O77" s="5" t="s">
        <v>2</v>
      </c>
      <c r="P77" s="21" t="s">
        <v>2</v>
      </c>
      <c r="Q77" s="54" t="s">
        <v>4179</v>
      </c>
    </row>
    <row r="78" spans="2:17" x14ac:dyDescent="0.3">
      <c r="B78" s="18" t="s">
        <v>714</v>
      </c>
      <c r="C78" s="47" t="s">
        <v>3947</v>
      </c>
      <c r="D78" s="15" t="s">
        <v>3113</v>
      </c>
      <c r="E78" s="55" t="s">
        <v>2</v>
      </c>
      <c r="F78" s="14">
        <v>44683</v>
      </c>
      <c r="G78" s="5" t="s">
        <v>200</v>
      </c>
      <c r="H78" s="2"/>
      <c r="I78" s="4">
        <v>4997100</v>
      </c>
      <c r="J78" s="4">
        <v>5000000</v>
      </c>
      <c r="K78" s="4">
        <v>0</v>
      </c>
      <c r="L78" s="2"/>
      <c r="M78" s="5" t="s">
        <v>1979</v>
      </c>
      <c r="N78" s="5" t="s">
        <v>3113</v>
      </c>
      <c r="O78" s="5" t="s">
        <v>2</v>
      </c>
      <c r="P78" s="21" t="s">
        <v>2</v>
      </c>
      <c r="Q78" s="54" t="s">
        <v>4179</v>
      </c>
    </row>
    <row r="79" spans="2:17" x14ac:dyDescent="0.3">
      <c r="B79" s="18" t="s">
        <v>2188</v>
      </c>
      <c r="C79" s="47" t="s">
        <v>3690</v>
      </c>
      <c r="D79" s="15" t="s">
        <v>1213</v>
      </c>
      <c r="E79" s="55" t="s">
        <v>2</v>
      </c>
      <c r="F79" s="14">
        <v>44651</v>
      </c>
      <c r="G79" s="5" t="s">
        <v>1581</v>
      </c>
      <c r="H79" s="2"/>
      <c r="I79" s="4">
        <v>9990900</v>
      </c>
      <c r="J79" s="4">
        <v>10000000</v>
      </c>
      <c r="K79" s="4">
        <v>0</v>
      </c>
      <c r="L79" s="2"/>
      <c r="M79" s="5" t="s">
        <v>2</v>
      </c>
      <c r="N79" s="5" t="s">
        <v>1982</v>
      </c>
      <c r="O79" s="5" t="s">
        <v>824</v>
      </c>
      <c r="P79" s="21" t="s">
        <v>2</v>
      </c>
      <c r="Q79" s="54" t="s">
        <v>4179</v>
      </c>
    </row>
    <row r="80" spans="2:17" x14ac:dyDescent="0.3">
      <c r="B80" s="18" t="s">
        <v>3320</v>
      </c>
      <c r="C80" s="47" t="s">
        <v>1214</v>
      </c>
      <c r="D80" s="15" t="s">
        <v>320</v>
      </c>
      <c r="E80" s="55" t="s">
        <v>2</v>
      </c>
      <c r="F80" s="14">
        <v>44713</v>
      </c>
      <c r="G80" s="5" t="s">
        <v>2979</v>
      </c>
      <c r="H80" s="2"/>
      <c r="I80" s="4">
        <v>6539403</v>
      </c>
      <c r="J80" s="4">
        <v>7999000</v>
      </c>
      <c r="K80" s="4">
        <v>24237</v>
      </c>
      <c r="L80" s="2"/>
      <c r="M80" s="5" t="s">
        <v>3691</v>
      </c>
      <c r="N80" s="5" t="s">
        <v>70</v>
      </c>
      <c r="O80" s="5" t="s">
        <v>824</v>
      </c>
      <c r="P80" s="21" t="s">
        <v>2</v>
      </c>
      <c r="Q80" s="54" t="s">
        <v>4179</v>
      </c>
    </row>
    <row r="81" spans="2:17" x14ac:dyDescent="0.3">
      <c r="B81" s="18" t="s">
        <v>4462</v>
      </c>
      <c r="C81" s="47" t="s">
        <v>4252</v>
      </c>
      <c r="D81" s="15" t="s">
        <v>1215</v>
      </c>
      <c r="E81" s="55" t="s">
        <v>2</v>
      </c>
      <c r="F81" s="14">
        <v>44622</v>
      </c>
      <c r="G81" s="5" t="s">
        <v>200</v>
      </c>
      <c r="H81" s="2"/>
      <c r="I81" s="4">
        <v>4987900</v>
      </c>
      <c r="J81" s="4">
        <v>5000000</v>
      </c>
      <c r="K81" s="4">
        <v>0</v>
      </c>
      <c r="L81" s="2"/>
      <c r="M81" s="5" t="s">
        <v>553</v>
      </c>
      <c r="N81" s="5" t="s">
        <v>3458</v>
      </c>
      <c r="O81" s="5" t="s">
        <v>1688</v>
      </c>
      <c r="P81" s="21" t="s">
        <v>2</v>
      </c>
      <c r="Q81" s="54" t="s">
        <v>4179</v>
      </c>
    </row>
    <row r="82" spans="2:17" x14ac:dyDescent="0.3">
      <c r="B82" s="18" t="s">
        <v>1066</v>
      </c>
      <c r="C82" s="47" t="s">
        <v>865</v>
      </c>
      <c r="D82" s="15" t="s">
        <v>1444</v>
      </c>
      <c r="E82" s="55" t="s">
        <v>2</v>
      </c>
      <c r="F82" s="14">
        <v>44650</v>
      </c>
      <c r="G82" s="5" t="s">
        <v>2981</v>
      </c>
      <c r="H82" s="2"/>
      <c r="I82" s="4">
        <v>4993100</v>
      </c>
      <c r="J82" s="4">
        <v>5000000</v>
      </c>
      <c r="K82" s="4">
        <v>0</v>
      </c>
      <c r="L82" s="2"/>
      <c r="M82" s="5" t="s">
        <v>2</v>
      </c>
      <c r="N82" s="5" t="s">
        <v>3116</v>
      </c>
      <c r="O82" s="5" t="s">
        <v>2575</v>
      </c>
      <c r="P82" s="21" t="s">
        <v>2</v>
      </c>
      <c r="Q82" s="54" t="s">
        <v>4179</v>
      </c>
    </row>
    <row r="83" spans="2:17" x14ac:dyDescent="0.3">
      <c r="B83" s="18" t="s">
        <v>2189</v>
      </c>
      <c r="C83" s="47" t="s">
        <v>1311</v>
      </c>
      <c r="D83" s="15" t="s">
        <v>2436</v>
      </c>
      <c r="E83" s="55" t="s">
        <v>2</v>
      </c>
      <c r="F83" s="14">
        <v>44630</v>
      </c>
      <c r="G83" s="5" t="s">
        <v>3603</v>
      </c>
      <c r="H83" s="2"/>
      <c r="I83" s="4">
        <v>7749468</v>
      </c>
      <c r="J83" s="4">
        <v>7750000</v>
      </c>
      <c r="K83" s="4">
        <v>0</v>
      </c>
      <c r="L83" s="2"/>
      <c r="M83" s="5" t="s">
        <v>2</v>
      </c>
      <c r="N83" s="5" t="s">
        <v>1312</v>
      </c>
      <c r="O83" s="5" t="s">
        <v>824</v>
      </c>
      <c r="P83" s="21" t="s">
        <v>2</v>
      </c>
      <c r="Q83" s="54" t="s">
        <v>4179</v>
      </c>
    </row>
    <row r="84" spans="2:17" x14ac:dyDescent="0.3">
      <c r="B84" s="18" t="s">
        <v>3321</v>
      </c>
      <c r="C84" s="47" t="s">
        <v>167</v>
      </c>
      <c r="D84" s="15" t="s">
        <v>2436</v>
      </c>
      <c r="E84" s="55" t="s">
        <v>2</v>
      </c>
      <c r="F84" s="14">
        <v>44630</v>
      </c>
      <c r="G84" s="5" t="s">
        <v>3603</v>
      </c>
      <c r="H84" s="2"/>
      <c r="I84" s="4">
        <v>8998373</v>
      </c>
      <c r="J84" s="4">
        <v>9000000</v>
      </c>
      <c r="K84" s="4">
        <v>0</v>
      </c>
      <c r="L84" s="2"/>
      <c r="M84" s="5" t="s">
        <v>2</v>
      </c>
      <c r="N84" s="5" t="s">
        <v>1312</v>
      </c>
      <c r="O84" s="5" t="s">
        <v>824</v>
      </c>
      <c r="P84" s="21" t="s">
        <v>2</v>
      </c>
      <c r="Q84" s="54" t="s">
        <v>4179</v>
      </c>
    </row>
    <row r="85" spans="2:17" x14ac:dyDescent="0.3">
      <c r="B85" s="18" t="s">
        <v>4463</v>
      </c>
      <c r="C85" s="47" t="s">
        <v>4259</v>
      </c>
      <c r="D85" s="15" t="s">
        <v>1691</v>
      </c>
      <c r="E85" s="55" t="s">
        <v>2</v>
      </c>
      <c r="F85" s="14">
        <v>44907</v>
      </c>
      <c r="G85" s="5" t="s">
        <v>457</v>
      </c>
      <c r="H85" s="2"/>
      <c r="I85" s="4">
        <v>5222400</v>
      </c>
      <c r="J85" s="4">
        <v>5000000</v>
      </c>
      <c r="K85" s="4">
        <v>39931</v>
      </c>
      <c r="L85" s="2"/>
      <c r="M85" s="5" t="s">
        <v>868</v>
      </c>
      <c r="N85" s="5" t="s">
        <v>1691</v>
      </c>
      <c r="O85" s="5" t="s">
        <v>2</v>
      </c>
      <c r="P85" s="21" t="s">
        <v>2</v>
      </c>
      <c r="Q85" s="54" t="s">
        <v>4179</v>
      </c>
    </row>
    <row r="86" spans="2:17" x14ac:dyDescent="0.3">
      <c r="B86" s="18" t="s">
        <v>1067</v>
      </c>
      <c r="C86" s="47" t="s">
        <v>2341</v>
      </c>
      <c r="D86" s="15" t="s">
        <v>1217</v>
      </c>
      <c r="E86" s="55" t="s">
        <v>2</v>
      </c>
      <c r="F86" s="14">
        <v>44810</v>
      </c>
      <c r="G86" s="5" t="s">
        <v>1060</v>
      </c>
      <c r="H86" s="2"/>
      <c r="I86" s="4">
        <v>4988200</v>
      </c>
      <c r="J86" s="4">
        <v>5000000</v>
      </c>
      <c r="K86" s="4">
        <v>0</v>
      </c>
      <c r="L86" s="2"/>
      <c r="M86" s="5" t="s">
        <v>3124</v>
      </c>
      <c r="N86" s="5" t="s">
        <v>871</v>
      </c>
      <c r="O86" s="5" t="s">
        <v>872</v>
      </c>
      <c r="P86" s="21" t="s">
        <v>2</v>
      </c>
      <c r="Q86" s="54" t="s">
        <v>4179</v>
      </c>
    </row>
    <row r="87" spans="2:17" x14ac:dyDescent="0.3">
      <c r="B87" s="18" t="s">
        <v>2190</v>
      </c>
      <c r="C87" s="47" t="s">
        <v>2651</v>
      </c>
      <c r="D87" s="15" t="s">
        <v>1525</v>
      </c>
      <c r="E87" s="55" t="s">
        <v>2</v>
      </c>
      <c r="F87" s="14">
        <v>44832</v>
      </c>
      <c r="G87" s="5" t="s">
        <v>4454</v>
      </c>
      <c r="H87" s="2"/>
      <c r="I87" s="4">
        <v>4000000</v>
      </c>
      <c r="J87" s="4">
        <v>4000000</v>
      </c>
      <c r="K87" s="4">
        <v>0</v>
      </c>
      <c r="L87" s="2"/>
      <c r="M87" s="5" t="s">
        <v>2</v>
      </c>
      <c r="N87" s="5" t="s">
        <v>2650</v>
      </c>
      <c r="O87" s="5" t="s">
        <v>824</v>
      </c>
      <c r="P87" s="21" t="s">
        <v>2</v>
      </c>
      <c r="Q87" s="54" t="s">
        <v>4179</v>
      </c>
    </row>
    <row r="88" spans="2:17" x14ac:dyDescent="0.3">
      <c r="B88" s="18" t="s">
        <v>4464</v>
      </c>
      <c r="C88" s="47" t="s">
        <v>3693</v>
      </c>
      <c r="D88" s="15" t="s">
        <v>203</v>
      </c>
      <c r="E88" s="55" t="s">
        <v>2</v>
      </c>
      <c r="F88" s="14">
        <v>44781</v>
      </c>
      <c r="G88" s="5" t="s">
        <v>1852</v>
      </c>
      <c r="H88" s="2"/>
      <c r="I88" s="4">
        <v>4743160</v>
      </c>
      <c r="J88" s="4">
        <v>4750000</v>
      </c>
      <c r="K88" s="4">
        <v>0</v>
      </c>
      <c r="L88" s="2"/>
      <c r="M88" s="5" t="s">
        <v>2</v>
      </c>
      <c r="N88" s="5" t="s">
        <v>3461</v>
      </c>
      <c r="O88" s="5" t="s">
        <v>2</v>
      </c>
      <c r="P88" s="21" t="s">
        <v>2</v>
      </c>
      <c r="Q88" s="54" t="s">
        <v>4179</v>
      </c>
    </row>
    <row r="89" spans="2:17" x14ac:dyDescent="0.3">
      <c r="B89" s="18" t="s">
        <v>1068</v>
      </c>
      <c r="C89" s="47" t="s">
        <v>2578</v>
      </c>
      <c r="D89" s="15" t="s">
        <v>3322</v>
      </c>
      <c r="E89" s="55" t="s">
        <v>2</v>
      </c>
      <c r="F89" s="14">
        <v>44911</v>
      </c>
      <c r="G89" s="5" t="s">
        <v>4454</v>
      </c>
      <c r="H89" s="2"/>
      <c r="I89" s="4">
        <v>5000000</v>
      </c>
      <c r="J89" s="4">
        <v>5000000</v>
      </c>
      <c r="K89" s="4">
        <v>0</v>
      </c>
      <c r="L89" s="2"/>
      <c r="M89" s="5" t="s">
        <v>1448</v>
      </c>
      <c r="N89" s="5" t="s">
        <v>2342</v>
      </c>
      <c r="O89" s="5" t="s">
        <v>2</v>
      </c>
      <c r="P89" s="21" t="s">
        <v>2</v>
      </c>
      <c r="Q89" s="54" t="s">
        <v>4179</v>
      </c>
    </row>
    <row r="90" spans="2:17" x14ac:dyDescent="0.3">
      <c r="B90" s="18" t="s">
        <v>2191</v>
      </c>
      <c r="C90" s="47" t="s">
        <v>1450</v>
      </c>
      <c r="D90" s="15" t="s">
        <v>3851</v>
      </c>
      <c r="E90" s="55" t="s">
        <v>2</v>
      </c>
      <c r="F90" s="14">
        <v>44789</v>
      </c>
      <c r="G90" s="5" t="s">
        <v>457</v>
      </c>
      <c r="H90" s="2"/>
      <c r="I90" s="4">
        <v>4122071</v>
      </c>
      <c r="J90" s="4">
        <v>4125000</v>
      </c>
      <c r="K90" s="4">
        <v>0</v>
      </c>
      <c r="L90" s="2"/>
      <c r="M90" s="5" t="s">
        <v>2579</v>
      </c>
      <c r="N90" s="5" t="s">
        <v>1220</v>
      </c>
      <c r="O90" s="5" t="s">
        <v>2</v>
      </c>
      <c r="P90" s="21" t="s">
        <v>2</v>
      </c>
      <c r="Q90" s="54" t="s">
        <v>4179</v>
      </c>
    </row>
    <row r="91" spans="2:17" x14ac:dyDescent="0.3">
      <c r="B91" s="18" t="s">
        <v>3323</v>
      </c>
      <c r="C91" s="47" t="s">
        <v>324</v>
      </c>
      <c r="D91" s="15" t="s">
        <v>1584</v>
      </c>
      <c r="E91" s="55" t="s">
        <v>2</v>
      </c>
      <c r="F91" s="14">
        <v>44606</v>
      </c>
      <c r="G91" s="5" t="s">
        <v>1349</v>
      </c>
      <c r="H91" s="2"/>
      <c r="I91" s="4">
        <v>4785200</v>
      </c>
      <c r="J91" s="4">
        <v>5000000</v>
      </c>
      <c r="K91" s="4">
        <v>15278</v>
      </c>
      <c r="L91" s="2"/>
      <c r="M91" s="5" t="s">
        <v>1993</v>
      </c>
      <c r="N91" s="5" t="s">
        <v>1451</v>
      </c>
      <c r="O91" s="5" t="s">
        <v>2</v>
      </c>
      <c r="P91" s="21" t="s">
        <v>2</v>
      </c>
      <c r="Q91" s="54" t="s">
        <v>4179</v>
      </c>
    </row>
    <row r="92" spans="2:17" x14ac:dyDescent="0.3">
      <c r="B92" s="18" t="s">
        <v>4465</v>
      </c>
      <c r="C92" s="47" t="s">
        <v>1452</v>
      </c>
      <c r="D92" s="15" t="s">
        <v>325</v>
      </c>
      <c r="E92" s="55" t="s">
        <v>2</v>
      </c>
      <c r="F92" s="14">
        <v>44713</v>
      </c>
      <c r="G92" s="5" t="s">
        <v>920</v>
      </c>
      <c r="H92" s="2"/>
      <c r="I92" s="4">
        <v>8828190</v>
      </c>
      <c r="J92" s="4">
        <v>9000000</v>
      </c>
      <c r="K92" s="4">
        <v>19396</v>
      </c>
      <c r="L92" s="2"/>
      <c r="M92" s="5" t="s">
        <v>2</v>
      </c>
      <c r="N92" s="5" t="s">
        <v>2344</v>
      </c>
      <c r="O92" s="5" t="s">
        <v>824</v>
      </c>
      <c r="P92" s="21" t="s">
        <v>2</v>
      </c>
      <c r="Q92" s="54" t="s">
        <v>4179</v>
      </c>
    </row>
    <row r="93" spans="2:17" x14ac:dyDescent="0.3">
      <c r="B93" s="18" t="s">
        <v>1069</v>
      </c>
      <c r="C93" s="47" t="s">
        <v>1314</v>
      </c>
      <c r="D93" s="15" t="s">
        <v>168</v>
      </c>
      <c r="E93" s="55" t="s">
        <v>2</v>
      </c>
      <c r="F93" s="14">
        <v>44727</v>
      </c>
      <c r="G93" s="5" t="s">
        <v>4466</v>
      </c>
      <c r="H93" s="2"/>
      <c r="I93" s="4">
        <v>14996972</v>
      </c>
      <c r="J93" s="4">
        <v>15000000</v>
      </c>
      <c r="K93" s="4">
        <v>0</v>
      </c>
      <c r="L93" s="2"/>
      <c r="M93" s="5" t="s">
        <v>2</v>
      </c>
      <c r="N93" s="5" t="s">
        <v>2438</v>
      </c>
      <c r="O93" s="5" t="s">
        <v>824</v>
      </c>
      <c r="P93" s="21" t="s">
        <v>2</v>
      </c>
      <c r="Q93" s="54" t="s">
        <v>4179</v>
      </c>
    </row>
    <row r="94" spans="2:17" x14ac:dyDescent="0.3">
      <c r="B94" s="18" t="s">
        <v>2192</v>
      </c>
      <c r="C94" s="47" t="s">
        <v>1224</v>
      </c>
      <c r="D94" s="15" t="s">
        <v>3467</v>
      </c>
      <c r="E94" s="55" t="s">
        <v>2</v>
      </c>
      <c r="F94" s="14">
        <v>44748</v>
      </c>
      <c r="G94" s="5" t="s">
        <v>2981</v>
      </c>
      <c r="H94" s="2"/>
      <c r="I94" s="4">
        <v>4992050</v>
      </c>
      <c r="J94" s="4">
        <v>5000000</v>
      </c>
      <c r="K94" s="4">
        <v>0</v>
      </c>
      <c r="L94" s="2"/>
      <c r="M94" s="5" t="s">
        <v>2</v>
      </c>
      <c r="N94" s="5" t="s">
        <v>4270</v>
      </c>
      <c r="O94" s="5" t="s">
        <v>4270</v>
      </c>
      <c r="P94" s="21" t="s">
        <v>2</v>
      </c>
      <c r="Q94" s="54" t="s">
        <v>4179</v>
      </c>
    </row>
    <row r="95" spans="2:17" x14ac:dyDescent="0.3">
      <c r="B95" s="18" t="s">
        <v>3324</v>
      </c>
      <c r="C95" s="47" t="s">
        <v>327</v>
      </c>
      <c r="D95" s="15" t="s">
        <v>1351</v>
      </c>
      <c r="E95" s="55" t="s">
        <v>2</v>
      </c>
      <c r="F95" s="14">
        <v>44767</v>
      </c>
      <c r="G95" s="5" t="s">
        <v>1581</v>
      </c>
      <c r="H95" s="2"/>
      <c r="I95" s="4">
        <v>3000000</v>
      </c>
      <c r="J95" s="4">
        <v>3000000</v>
      </c>
      <c r="K95" s="4">
        <v>0</v>
      </c>
      <c r="L95" s="2"/>
      <c r="M95" s="5" t="s">
        <v>1453</v>
      </c>
      <c r="N95" s="5" t="s">
        <v>3952</v>
      </c>
      <c r="O95" s="5" t="s">
        <v>2</v>
      </c>
      <c r="P95" s="21" t="s">
        <v>2</v>
      </c>
      <c r="Q95" s="54" t="s">
        <v>4179</v>
      </c>
    </row>
    <row r="96" spans="2:17" x14ac:dyDescent="0.3">
      <c r="B96" s="18" t="s">
        <v>4467</v>
      </c>
      <c r="C96" s="47" t="s">
        <v>4272</v>
      </c>
      <c r="D96" s="15" t="s">
        <v>204</v>
      </c>
      <c r="E96" s="55" t="s">
        <v>2</v>
      </c>
      <c r="F96" s="14">
        <v>44602</v>
      </c>
      <c r="G96" s="5" t="s">
        <v>1581</v>
      </c>
      <c r="H96" s="2"/>
      <c r="I96" s="4">
        <v>5120650</v>
      </c>
      <c r="J96" s="4">
        <v>5000000</v>
      </c>
      <c r="K96" s="4">
        <v>20903</v>
      </c>
      <c r="L96" s="2"/>
      <c r="M96" s="5" t="s">
        <v>3136</v>
      </c>
      <c r="N96" s="5" t="s">
        <v>328</v>
      </c>
      <c r="O96" s="5" t="s">
        <v>2</v>
      </c>
      <c r="P96" s="21" t="s">
        <v>2</v>
      </c>
      <c r="Q96" s="54" t="s">
        <v>4179</v>
      </c>
    </row>
    <row r="97" spans="2:17" x14ac:dyDescent="0.3">
      <c r="B97" s="18" t="s">
        <v>1352</v>
      </c>
      <c r="C97" s="47" t="s">
        <v>3570</v>
      </c>
      <c r="D97" s="15" t="s">
        <v>3787</v>
      </c>
      <c r="E97" s="55" t="s">
        <v>2</v>
      </c>
      <c r="F97" s="14">
        <v>44672</v>
      </c>
      <c r="G97" s="5" t="s">
        <v>4454</v>
      </c>
      <c r="H97" s="2"/>
      <c r="I97" s="4">
        <v>11997978</v>
      </c>
      <c r="J97" s="4">
        <v>12000000</v>
      </c>
      <c r="K97" s="4">
        <v>0</v>
      </c>
      <c r="L97" s="2"/>
      <c r="M97" s="5" t="s">
        <v>2</v>
      </c>
      <c r="N97" s="5" t="s">
        <v>2652</v>
      </c>
      <c r="O97" s="5" t="s">
        <v>3272</v>
      </c>
      <c r="P97" s="21" t="s">
        <v>2</v>
      </c>
      <c r="Q97" s="54" t="s">
        <v>4179</v>
      </c>
    </row>
    <row r="98" spans="2:17" x14ac:dyDescent="0.3">
      <c r="B98" s="18" t="s">
        <v>3325</v>
      </c>
      <c r="C98" s="47" t="s">
        <v>1526</v>
      </c>
      <c r="D98" s="15" t="s">
        <v>3787</v>
      </c>
      <c r="E98" s="55" t="s">
        <v>2</v>
      </c>
      <c r="F98" s="14">
        <v>44672</v>
      </c>
      <c r="G98" s="5" t="s">
        <v>4454</v>
      </c>
      <c r="H98" s="2"/>
      <c r="I98" s="4">
        <v>4290337</v>
      </c>
      <c r="J98" s="4">
        <v>4300000</v>
      </c>
      <c r="K98" s="4">
        <v>0</v>
      </c>
      <c r="L98" s="2"/>
      <c r="M98" s="5" t="s">
        <v>2</v>
      </c>
      <c r="N98" s="5" t="s">
        <v>2652</v>
      </c>
      <c r="O98" s="5" t="s">
        <v>3272</v>
      </c>
      <c r="P98" s="21" t="s">
        <v>2</v>
      </c>
      <c r="Q98" s="54" t="s">
        <v>4179</v>
      </c>
    </row>
    <row r="99" spans="2:17" x14ac:dyDescent="0.3">
      <c r="B99" s="18" t="s">
        <v>4468</v>
      </c>
      <c r="C99" s="47" t="s">
        <v>80</v>
      </c>
      <c r="D99" s="15" t="s">
        <v>3705</v>
      </c>
      <c r="E99" s="55" t="s">
        <v>2</v>
      </c>
      <c r="F99" s="14">
        <v>44781</v>
      </c>
      <c r="G99" s="5" t="s">
        <v>1349</v>
      </c>
      <c r="H99" s="2"/>
      <c r="I99" s="4">
        <v>4704828</v>
      </c>
      <c r="J99" s="4">
        <v>4750000</v>
      </c>
      <c r="K99" s="4">
        <v>0</v>
      </c>
      <c r="L99" s="2"/>
      <c r="M99" s="5" t="s">
        <v>2353</v>
      </c>
      <c r="N99" s="5" t="s">
        <v>4274</v>
      </c>
      <c r="O99" s="5" t="s">
        <v>2820</v>
      </c>
      <c r="P99" s="21" t="s">
        <v>2</v>
      </c>
      <c r="Q99" s="54" t="s">
        <v>4179</v>
      </c>
    </row>
    <row r="100" spans="2:17" x14ac:dyDescent="0.3">
      <c r="B100" s="18" t="s">
        <v>1070</v>
      </c>
      <c r="C100" s="47" t="s">
        <v>2923</v>
      </c>
      <c r="D100" s="15" t="s">
        <v>1528</v>
      </c>
      <c r="E100" s="55" t="s">
        <v>2</v>
      </c>
      <c r="F100" s="14">
        <v>44593</v>
      </c>
      <c r="G100" s="5" t="s">
        <v>4461</v>
      </c>
      <c r="H100" s="2"/>
      <c r="I100" s="4">
        <v>8743578</v>
      </c>
      <c r="J100" s="4">
        <v>8747787</v>
      </c>
      <c r="K100" s="4">
        <v>0</v>
      </c>
      <c r="L100" s="2"/>
      <c r="M100" s="5" t="s">
        <v>2</v>
      </c>
      <c r="N100" s="5" t="s">
        <v>3575</v>
      </c>
      <c r="O100" s="5" t="s">
        <v>824</v>
      </c>
      <c r="P100" s="21" t="s">
        <v>2</v>
      </c>
      <c r="Q100" s="54" t="s">
        <v>4179</v>
      </c>
    </row>
    <row r="101" spans="2:17" x14ac:dyDescent="0.3">
      <c r="B101" s="18" t="s">
        <v>2193</v>
      </c>
      <c r="C101" s="47" t="s">
        <v>2138</v>
      </c>
      <c r="D101" s="15" t="s">
        <v>2654</v>
      </c>
      <c r="E101" s="55" t="s">
        <v>2</v>
      </c>
      <c r="F101" s="14">
        <v>44748</v>
      </c>
      <c r="G101" s="5" t="s">
        <v>200</v>
      </c>
      <c r="H101" s="2"/>
      <c r="I101" s="4">
        <v>6997878</v>
      </c>
      <c r="J101" s="4">
        <v>7000000</v>
      </c>
      <c r="K101" s="4">
        <v>0</v>
      </c>
      <c r="L101" s="2"/>
      <c r="M101" s="5" t="s">
        <v>2</v>
      </c>
      <c r="N101" s="5" t="s">
        <v>409</v>
      </c>
      <c r="O101" s="5" t="s">
        <v>409</v>
      </c>
      <c r="P101" s="21" t="s">
        <v>2</v>
      </c>
      <c r="Q101" s="54" t="s">
        <v>4179</v>
      </c>
    </row>
    <row r="102" spans="2:17" x14ac:dyDescent="0.3">
      <c r="B102" s="18" t="s">
        <v>3326</v>
      </c>
      <c r="C102" s="47" t="s">
        <v>171</v>
      </c>
      <c r="D102" s="15" t="s">
        <v>2654</v>
      </c>
      <c r="E102" s="55" t="s">
        <v>2</v>
      </c>
      <c r="F102" s="14">
        <v>44748</v>
      </c>
      <c r="G102" s="5" t="s">
        <v>200</v>
      </c>
      <c r="H102" s="2"/>
      <c r="I102" s="4">
        <v>2249750</v>
      </c>
      <c r="J102" s="4">
        <v>2250000</v>
      </c>
      <c r="K102" s="4">
        <v>0</v>
      </c>
      <c r="L102" s="2"/>
      <c r="M102" s="5" t="s">
        <v>2</v>
      </c>
      <c r="N102" s="5" t="s">
        <v>409</v>
      </c>
      <c r="O102" s="5" t="s">
        <v>409</v>
      </c>
      <c r="P102" s="21" t="s">
        <v>2</v>
      </c>
      <c r="Q102" s="54" t="s">
        <v>4179</v>
      </c>
    </row>
    <row r="103" spans="2:17" x14ac:dyDescent="0.3">
      <c r="B103" s="18" t="s">
        <v>4469</v>
      </c>
      <c r="C103" s="47" t="s">
        <v>3789</v>
      </c>
      <c r="D103" s="15" t="s">
        <v>4419</v>
      </c>
      <c r="E103" s="55" t="s">
        <v>2</v>
      </c>
      <c r="F103" s="14">
        <v>44684</v>
      </c>
      <c r="G103" s="5" t="s">
        <v>1582</v>
      </c>
      <c r="H103" s="2"/>
      <c r="I103" s="4">
        <v>4999854</v>
      </c>
      <c r="J103" s="4">
        <v>5000000</v>
      </c>
      <c r="K103" s="4">
        <v>0</v>
      </c>
      <c r="L103" s="2"/>
      <c r="M103" s="5" t="s">
        <v>2</v>
      </c>
      <c r="N103" s="5" t="s">
        <v>2925</v>
      </c>
      <c r="O103" s="5" t="s">
        <v>2925</v>
      </c>
      <c r="P103" s="21" t="s">
        <v>2</v>
      </c>
      <c r="Q103" s="54" t="s">
        <v>4179</v>
      </c>
    </row>
    <row r="104" spans="2:17" x14ac:dyDescent="0.3">
      <c r="B104" s="18" t="s">
        <v>1071</v>
      </c>
      <c r="C104" s="47" t="s">
        <v>2656</v>
      </c>
      <c r="D104" s="15" t="s">
        <v>4419</v>
      </c>
      <c r="E104" s="55" t="s">
        <v>2</v>
      </c>
      <c r="F104" s="14">
        <v>44684</v>
      </c>
      <c r="G104" s="5" t="s">
        <v>1582</v>
      </c>
      <c r="H104" s="2"/>
      <c r="I104" s="4">
        <v>4999303</v>
      </c>
      <c r="J104" s="4">
        <v>5000000</v>
      </c>
      <c r="K104" s="4">
        <v>0</v>
      </c>
      <c r="L104" s="2"/>
      <c r="M104" s="5" t="s">
        <v>2</v>
      </c>
      <c r="N104" s="5" t="s">
        <v>2925</v>
      </c>
      <c r="O104" s="5" t="s">
        <v>2925</v>
      </c>
      <c r="P104" s="21" t="s">
        <v>2</v>
      </c>
      <c r="Q104" s="54" t="s">
        <v>4179</v>
      </c>
    </row>
    <row r="105" spans="2:17" x14ac:dyDescent="0.3">
      <c r="B105" s="18" t="s">
        <v>2477</v>
      </c>
      <c r="C105" s="47" t="s">
        <v>3707</v>
      </c>
      <c r="D105" s="15" t="s">
        <v>2356</v>
      </c>
      <c r="E105" s="55" t="s">
        <v>2</v>
      </c>
      <c r="F105" s="14">
        <v>44781</v>
      </c>
      <c r="G105" s="5" t="s">
        <v>200</v>
      </c>
      <c r="H105" s="2"/>
      <c r="I105" s="4">
        <v>2994990</v>
      </c>
      <c r="J105" s="4">
        <v>3000000</v>
      </c>
      <c r="K105" s="4">
        <v>0</v>
      </c>
      <c r="L105" s="2"/>
      <c r="M105" s="5" t="s">
        <v>2586</v>
      </c>
      <c r="N105" s="5" t="s">
        <v>2826</v>
      </c>
      <c r="O105" s="5" t="s">
        <v>2004</v>
      </c>
      <c r="P105" s="21" t="s">
        <v>2</v>
      </c>
      <c r="Q105" s="54" t="s">
        <v>4179</v>
      </c>
    </row>
    <row r="106" spans="2:17" x14ac:dyDescent="0.3">
      <c r="B106" s="18" t="s">
        <v>3604</v>
      </c>
      <c r="C106" s="47" t="s">
        <v>3576</v>
      </c>
      <c r="D106" s="15" t="s">
        <v>4063</v>
      </c>
      <c r="E106" s="55" t="s">
        <v>2</v>
      </c>
      <c r="F106" s="14">
        <v>44572</v>
      </c>
      <c r="G106" s="5" t="s">
        <v>2194</v>
      </c>
      <c r="H106" s="2"/>
      <c r="I106" s="4">
        <v>3999808</v>
      </c>
      <c r="J106" s="4">
        <v>4000000</v>
      </c>
      <c r="K106" s="4">
        <v>0</v>
      </c>
      <c r="L106" s="2"/>
      <c r="M106" s="5" t="s">
        <v>2</v>
      </c>
      <c r="N106" s="5" t="s">
        <v>667</v>
      </c>
      <c r="O106" s="5" t="s">
        <v>409</v>
      </c>
      <c r="P106" s="21" t="s">
        <v>2</v>
      </c>
      <c r="Q106" s="54" t="s">
        <v>4179</v>
      </c>
    </row>
    <row r="107" spans="2:17" x14ac:dyDescent="0.3">
      <c r="B107" s="18" t="s">
        <v>205</v>
      </c>
      <c r="C107" s="47" t="s">
        <v>172</v>
      </c>
      <c r="D107" s="15" t="s">
        <v>2657</v>
      </c>
      <c r="E107" s="55" t="s">
        <v>2</v>
      </c>
      <c r="F107" s="14">
        <v>44572</v>
      </c>
      <c r="G107" s="5" t="s">
        <v>2194</v>
      </c>
      <c r="H107" s="2"/>
      <c r="I107" s="4">
        <v>5599971</v>
      </c>
      <c r="J107" s="4">
        <v>5600000</v>
      </c>
      <c r="K107" s="4">
        <v>0</v>
      </c>
      <c r="L107" s="2"/>
      <c r="M107" s="5" t="s">
        <v>2</v>
      </c>
      <c r="N107" s="5" t="s">
        <v>667</v>
      </c>
      <c r="O107" s="5" t="s">
        <v>2927</v>
      </c>
      <c r="P107" s="21" t="s">
        <v>2</v>
      </c>
      <c r="Q107" s="54" t="s">
        <v>4179</v>
      </c>
    </row>
    <row r="108" spans="2:17" x14ac:dyDescent="0.3">
      <c r="B108" s="18" t="s">
        <v>2195</v>
      </c>
      <c r="C108" s="47" t="s">
        <v>1531</v>
      </c>
      <c r="D108" s="15" t="s">
        <v>411</v>
      </c>
      <c r="E108" s="55" t="s">
        <v>2</v>
      </c>
      <c r="F108" s="14">
        <v>44846</v>
      </c>
      <c r="G108" s="5" t="s">
        <v>1349</v>
      </c>
      <c r="H108" s="2"/>
      <c r="I108" s="4">
        <v>5499713</v>
      </c>
      <c r="J108" s="4">
        <v>5500000</v>
      </c>
      <c r="K108" s="4">
        <v>0</v>
      </c>
      <c r="L108" s="2"/>
      <c r="M108" s="5" t="s">
        <v>2</v>
      </c>
      <c r="N108" s="5" t="s">
        <v>2929</v>
      </c>
      <c r="O108" s="5" t="s">
        <v>824</v>
      </c>
      <c r="P108" s="21" t="s">
        <v>2</v>
      </c>
      <c r="Q108" s="54" t="s">
        <v>4179</v>
      </c>
    </row>
    <row r="109" spans="2:17" x14ac:dyDescent="0.3">
      <c r="B109" s="18" t="s">
        <v>3327</v>
      </c>
      <c r="C109" s="47" t="s">
        <v>1532</v>
      </c>
      <c r="D109" s="15" t="s">
        <v>411</v>
      </c>
      <c r="E109" s="55" t="s">
        <v>2</v>
      </c>
      <c r="F109" s="14">
        <v>44846</v>
      </c>
      <c r="G109" s="5" t="s">
        <v>1349</v>
      </c>
      <c r="H109" s="2"/>
      <c r="I109" s="4">
        <v>4499758</v>
      </c>
      <c r="J109" s="4">
        <v>4500000</v>
      </c>
      <c r="K109" s="4">
        <v>0</v>
      </c>
      <c r="L109" s="2"/>
      <c r="M109" s="5" t="s">
        <v>2</v>
      </c>
      <c r="N109" s="5" t="s">
        <v>2929</v>
      </c>
      <c r="O109" s="5" t="s">
        <v>824</v>
      </c>
      <c r="P109" s="21" t="s">
        <v>2</v>
      </c>
      <c r="Q109" s="54" t="s">
        <v>4179</v>
      </c>
    </row>
    <row r="110" spans="2:17" x14ac:dyDescent="0.3">
      <c r="B110" s="18" t="s">
        <v>4470</v>
      </c>
      <c r="C110" s="47" t="s">
        <v>891</v>
      </c>
      <c r="D110" s="15" t="s">
        <v>2828</v>
      </c>
      <c r="E110" s="55" t="s">
        <v>2</v>
      </c>
      <c r="F110" s="14">
        <v>44622</v>
      </c>
      <c r="G110" s="5" t="s">
        <v>2981</v>
      </c>
      <c r="H110" s="2"/>
      <c r="I110" s="4">
        <v>4624658</v>
      </c>
      <c r="J110" s="4">
        <v>4650000</v>
      </c>
      <c r="K110" s="4">
        <v>0</v>
      </c>
      <c r="L110" s="2"/>
      <c r="M110" s="5" t="s">
        <v>892</v>
      </c>
      <c r="N110" s="5" t="s">
        <v>4278</v>
      </c>
      <c r="O110" s="5" t="s">
        <v>824</v>
      </c>
      <c r="P110" s="21" t="s">
        <v>2</v>
      </c>
      <c r="Q110" s="54" t="s">
        <v>4179</v>
      </c>
    </row>
    <row r="111" spans="2:17" x14ac:dyDescent="0.3">
      <c r="B111" s="18" t="s">
        <v>1072</v>
      </c>
      <c r="C111" s="47" t="s">
        <v>413</v>
      </c>
      <c r="D111" s="15" t="s">
        <v>411</v>
      </c>
      <c r="E111" s="55" t="s">
        <v>2</v>
      </c>
      <c r="F111" s="14">
        <v>44698</v>
      </c>
      <c r="G111" s="5" t="s">
        <v>200</v>
      </c>
      <c r="H111" s="2"/>
      <c r="I111" s="4">
        <v>4999693</v>
      </c>
      <c r="J111" s="4">
        <v>5000000</v>
      </c>
      <c r="K111" s="4">
        <v>0</v>
      </c>
      <c r="L111" s="2"/>
      <c r="M111" s="5" t="s">
        <v>2</v>
      </c>
      <c r="N111" s="5" t="s">
        <v>2929</v>
      </c>
      <c r="O111" s="5" t="s">
        <v>824</v>
      </c>
      <c r="P111" s="21" t="s">
        <v>2</v>
      </c>
      <c r="Q111" s="54" t="s">
        <v>4179</v>
      </c>
    </row>
    <row r="112" spans="2:17" x14ac:dyDescent="0.3">
      <c r="B112" s="18" t="s">
        <v>2196</v>
      </c>
      <c r="C112" s="47" t="s">
        <v>3275</v>
      </c>
      <c r="D112" s="15" t="s">
        <v>3790</v>
      </c>
      <c r="E112" s="55" t="s">
        <v>2</v>
      </c>
      <c r="F112" s="14">
        <v>44774</v>
      </c>
      <c r="G112" s="5" t="s">
        <v>4461</v>
      </c>
      <c r="H112" s="2"/>
      <c r="I112" s="4">
        <v>7446242</v>
      </c>
      <c r="J112" s="4">
        <v>7447596</v>
      </c>
      <c r="K112" s="4">
        <v>0</v>
      </c>
      <c r="L112" s="2"/>
      <c r="M112" s="5" t="s">
        <v>2</v>
      </c>
      <c r="N112" s="5" t="s">
        <v>4070</v>
      </c>
      <c r="O112" s="5" t="s">
        <v>824</v>
      </c>
      <c r="P112" s="21" t="s">
        <v>2</v>
      </c>
      <c r="Q112" s="54" t="s">
        <v>4179</v>
      </c>
    </row>
    <row r="113" spans="2:17" x14ac:dyDescent="0.3">
      <c r="B113" s="18" t="s">
        <v>3328</v>
      </c>
      <c r="C113" s="47" t="s">
        <v>1318</v>
      </c>
      <c r="D113" s="15" t="s">
        <v>3790</v>
      </c>
      <c r="E113" s="55" t="s">
        <v>2</v>
      </c>
      <c r="F113" s="14">
        <v>44774</v>
      </c>
      <c r="G113" s="5" t="s">
        <v>4461</v>
      </c>
      <c r="H113" s="2"/>
      <c r="I113" s="4">
        <v>4653693</v>
      </c>
      <c r="J113" s="4">
        <v>4654748</v>
      </c>
      <c r="K113" s="4">
        <v>0</v>
      </c>
      <c r="L113" s="2"/>
      <c r="M113" s="5" t="s">
        <v>2</v>
      </c>
      <c r="N113" s="5" t="s">
        <v>4070</v>
      </c>
      <c r="O113" s="5" t="s">
        <v>824</v>
      </c>
      <c r="P113" s="21" t="s">
        <v>2</v>
      </c>
      <c r="Q113" s="54" t="s">
        <v>4179</v>
      </c>
    </row>
    <row r="114" spans="2:17" x14ac:dyDescent="0.3">
      <c r="B114" s="18" t="s">
        <v>206</v>
      </c>
      <c r="C114" s="47" t="s">
        <v>3964</v>
      </c>
      <c r="D114" s="15" t="s">
        <v>2478</v>
      </c>
      <c r="E114" s="55" t="s">
        <v>2</v>
      </c>
      <c r="F114" s="14">
        <v>44642</v>
      </c>
      <c r="G114" s="5" t="s">
        <v>920</v>
      </c>
      <c r="H114" s="2"/>
      <c r="I114" s="4">
        <v>5005800</v>
      </c>
      <c r="J114" s="4">
        <v>5000000</v>
      </c>
      <c r="K114" s="4">
        <v>514</v>
      </c>
      <c r="L114" s="2"/>
      <c r="M114" s="5" t="s">
        <v>3963</v>
      </c>
      <c r="N114" s="5" t="s">
        <v>3477</v>
      </c>
      <c r="O114" s="5" t="s">
        <v>2</v>
      </c>
      <c r="P114" s="21" t="s">
        <v>2</v>
      </c>
      <c r="Q114" s="54" t="s">
        <v>4179</v>
      </c>
    </row>
    <row r="115" spans="2:17" x14ac:dyDescent="0.3">
      <c r="B115" s="18" t="s">
        <v>1353</v>
      </c>
      <c r="C115" s="47" t="s">
        <v>2361</v>
      </c>
      <c r="D115" s="15" t="s">
        <v>3709</v>
      </c>
      <c r="E115" s="55" t="s">
        <v>2</v>
      </c>
      <c r="F115" s="14">
        <v>44867</v>
      </c>
      <c r="G115" s="5" t="s">
        <v>1350</v>
      </c>
      <c r="H115" s="2"/>
      <c r="I115" s="4">
        <v>10214862</v>
      </c>
      <c r="J115" s="4">
        <v>10700000</v>
      </c>
      <c r="K115" s="4">
        <v>135971</v>
      </c>
      <c r="L115" s="2"/>
      <c r="M115" s="5" t="s">
        <v>568</v>
      </c>
      <c r="N115" s="5" t="s">
        <v>4286</v>
      </c>
      <c r="O115" s="5" t="s">
        <v>824</v>
      </c>
      <c r="P115" s="21" t="s">
        <v>2</v>
      </c>
      <c r="Q115" s="54" t="s">
        <v>4179</v>
      </c>
    </row>
    <row r="116" spans="2:17" x14ac:dyDescent="0.3">
      <c r="B116" s="18" t="s">
        <v>2479</v>
      </c>
      <c r="C116" s="47" t="s">
        <v>3478</v>
      </c>
      <c r="D116" s="15" t="s">
        <v>3605</v>
      </c>
      <c r="E116" s="55" t="s">
        <v>2</v>
      </c>
      <c r="F116" s="14">
        <v>44635</v>
      </c>
      <c r="G116" s="5" t="s">
        <v>3603</v>
      </c>
      <c r="H116" s="2"/>
      <c r="I116" s="4">
        <v>5000000</v>
      </c>
      <c r="J116" s="4">
        <v>5000000</v>
      </c>
      <c r="K116" s="4">
        <v>0</v>
      </c>
      <c r="L116" s="2"/>
      <c r="M116" s="5" t="s">
        <v>568</v>
      </c>
      <c r="N116" s="5" t="s">
        <v>4286</v>
      </c>
      <c r="O116" s="5" t="s">
        <v>2</v>
      </c>
      <c r="P116" s="21" t="s">
        <v>2</v>
      </c>
      <c r="Q116" s="54" t="s">
        <v>4179</v>
      </c>
    </row>
    <row r="117" spans="2:17" x14ac:dyDescent="0.3">
      <c r="B117" s="18" t="s">
        <v>3606</v>
      </c>
      <c r="C117" s="47" t="s">
        <v>1714</v>
      </c>
      <c r="D117" s="15" t="s">
        <v>85</v>
      </c>
      <c r="E117" s="55" t="s">
        <v>2</v>
      </c>
      <c r="F117" s="14">
        <v>44728</v>
      </c>
      <c r="G117" s="5" t="s">
        <v>1060</v>
      </c>
      <c r="H117" s="2"/>
      <c r="I117" s="4">
        <v>17164940</v>
      </c>
      <c r="J117" s="4">
        <v>17400000</v>
      </c>
      <c r="K117" s="4">
        <v>23442</v>
      </c>
      <c r="L117" s="2"/>
      <c r="M117" s="5" t="s">
        <v>2013</v>
      </c>
      <c r="N117" s="5" t="s">
        <v>85</v>
      </c>
      <c r="O117" s="5" t="s">
        <v>2</v>
      </c>
      <c r="P117" s="21" t="s">
        <v>2</v>
      </c>
      <c r="Q117" s="54" t="s">
        <v>4179</v>
      </c>
    </row>
    <row r="118" spans="2:17" x14ac:dyDescent="0.3">
      <c r="B118" s="18" t="s">
        <v>1073</v>
      </c>
      <c r="C118" s="47" t="s">
        <v>2833</v>
      </c>
      <c r="D118" s="15" t="s">
        <v>1465</v>
      </c>
      <c r="E118" s="55" t="s">
        <v>2</v>
      </c>
      <c r="F118" s="14">
        <v>44762</v>
      </c>
      <c r="G118" s="5" t="s">
        <v>2981</v>
      </c>
      <c r="H118" s="2"/>
      <c r="I118" s="4">
        <v>14892150</v>
      </c>
      <c r="J118" s="4">
        <v>15000000</v>
      </c>
      <c r="K118" s="4">
        <v>0</v>
      </c>
      <c r="L118" s="2"/>
      <c r="M118" s="5" t="s">
        <v>3710</v>
      </c>
      <c r="N118" s="5" t="s">
        <v>1715</v>
      </c>
      <c r="O118" s="5" t="s">
        <v>1715</v>
      </c>
      <c r="P118" s="21" t="s">
        <v>2</v>
      </c>
      <c r="Q118" s="54" t="s">
        <v>4179</v>
      </c>
    </row>
    <row r="119" spans="2:17" x14ac:dyDescent="0.3">
      <c r="B119" s="18" t="s">
        <v>2197</v>
      </c>
      <c r="C119" s="47" t="s">
        <v>898</v>
      </c>
      <c r="D119" s="15" t="s">
        <v>2198</v>
      </c>
      <c r="E119" s="55" t="s">
        <v>2</v>
      </c>
      <c r="F119" s="14">
        <v>44671</v>
      </c>
      <c r="G119" s="5" t="s">
        <v>2981</v>
      </c>
      <c r="H119" s="2"/>
      <c r="I119" s="4">
        <v>4979100</v>
      </c>
      <c r="J119" s="4">
        <v>5000000</v>
      </c>
      <c r="K119" s="4">
        <v>0</v>
      </c>
      <c r="L119" s="2"/>
      <c r="M119" s="5" t="s">
        <v>1716</v>
      </c>
      <c r="N119" s="5" t="s">
        <v>2015</v>
      </c>
      <c r="O119" s="5" t="s">
        <v>2</v>
      </c>
      <c r="P119" s="21" t="s">
        <v>2</v>
      </c>
      <c r="Q119" s="54" t="s">
        <v>4179</v>
      </c>
    </row>
    <row r="120" spans="2:17" x14ac:dyDescent="0.3">
      <c r="B120" s="18" t="s">
        <v>3329</v>
      </c>
      <c r="C120" s="47" t="s">
        <v>1808</v>
      </c>
      <c r="D120" s="15" t="s">
        <v>417</v>
      </c>
      <c r="E120" s="55" t="s">
        <v>2</v>
      </c>
      <c r="F120" s="14">
        <v>44594</v>
      </c>
      <c r="G120" s="5" t="s">
        <v>2199</v>
      </c>
      <c r="H120" s="2"/>
      <c r="I120" s="4">
        <v>2955000</v>
      </c>
      <c r="J120" s="4">
        <v>2955000</v>
      </c>
      <c r="K120" s="4">
        <v>0</v>
      </c>
      <c r="L120" s="2"/>
      <c r="M120" s="5" t="s">
        <v>2</v>
      </c>
      <c r="N120" s="5" t="s">
        <v>1320</v>
      </c>
      <c r="O120" s="5" t="s">
        <v>824</v>
      </c>
      <c r="P120" s="21" t="s">
        <v>2</v>
      </c>
      <c r="Q120" s="54" t="s">
        <v>4179</v>
      </c>
    </row>
    <row r="121" spans="2:17" x14ac:dyDescent="0.3">
      <c r="B121" s="18" t="s">
        <v>4471</v>
      </c>
      <c r="C121" s="47" t="s">
        <v>1717</v>
      </c>
      <c r="D121" s="15" t="s">
        <v>2988</v>
      </c>
      <c r="E121" s="55" t="s">
        <v>2</v>
      </c>
      <c r="F121" s="14">
        <v>44670</v>
      </c>
      <c r="G121" s="5" t="s">
        <v>2981</v>
      </c>
      <c r="H121" s="2"/>
      <c r="I121" s="4">
        <v>5000000</v>
      </c>
      <c r="J121" s="4">
        <v>5000000</v>
      </c>
      <c r="K121" s="4">
        <v>0</v>
      </c>
      <c r="L121" s="2"/>
      <c r="M121" s="5" t="s">
        <v>3967</v>
      </c>
      <c r="N121" s="5" t="s">
        <v>572</v>
      </c>
      <c r="O121" s="5" t="s">
        <v>2</v>
      </c>
      <c r="P121" s="21" t="s">
        <v>2</v>
      </c>
      <c r="Q121" s="54" t="s">
        <v>4179</v>
      </c>
    </row>
    <row r="122" spans="2:17" x14ac:dyDescent="0.3">
      <c r="B122" s="18" t="s">
        <v>1354</v>
      </c>
      <c r="C122" s="47" t="s">
        <v>901</v>
      </c>
      <c r="D122" s="15" t="s">
        <v>1074</v>
      </c>
      <c r="E122" s="55" t="s">
        <v>2</v>
      </c>
      <c r="F122" s="14">
        <v>44760</v>
      </c>
      <c r="G122" s="5" t="s">
        <v>2981</v>
      </c>
      <c r="H122" s="2"/>
      <c r="I122" s="4">
        <v>5000000</v>
      </c>
      <c r="J122" s="4">
        <v>5000000</v>
      </c>
      <c r="K122" s="4">
        <v>0</v>
      </c>
      <c r="L122" s="2"/>
      <c r="M122" s="5" t="s">
        <v>3967</v>
      </c>
      <c r="N122" s="5" t="s">
        <v>572</v>
      </c>
      <c r="O122" s="5" t="s">
        <v>2</v>
      </c>
      <c r="P122" s="21" t="s">
        <v>2</v>
      </c>
      <c r="Q122" s="54" t="s">
        <v>4179</v>
      </c>
    </row>
    <row r="123" spans="2:17" x14ac:dyDescent="0.3">
      <c r="B123" s="18" t="s">
        <v>2480</v>
      </c>
      <c r="C123" s="47" t="s">
        <v>2366</v>
      </c>
      <c r="D123" s="15" t="s">
        <v>1585</v>
      </c>
      <c r="E123" s="55" t="s">
        <v>2</v>
      </c>
      <c r="F123" s="14">
        <v>44658</v>
      </c>
      <c r="G123" s="5" t="s">
        <v>200</v>
      </c>
      <c r="H123" s="2"/>
      <c r="I123" s="4">
        <v>4990650</v>
      </c>
      <c r="J123" s="4">
        <v>5000000</v>
      </c>
      <c r="K123" s="4">
        <v>0</v>
      </c>
      <c r="L123" s="2"/>
      <c r="M123" s="5" t="s">
        <v>2</v>
      </c>
      <c r="N123" s="5" t="s">
        <v>4263</v>
      </c>
      <c r="O123" s="5" t="s">
        <v>2</v>
      </c>
      <c r="P123" s="21" t="s">
        <v>2</v>
      </c>
      <c r="Q123" s="54" t="s">
        <v>4179</v>
      </c>
    </row>
    <row r="124" spans="2:17" x14ac:dyDescent="0.3">
      <c r="B124" s="18" t="s">
        <v>3607</v>
      </c>
      <c r="C124" s="47" t="s">
        <v>2836</v>
      </c>
      <c r="D124" s="15" t="s">
        <v>3969</v>
      </c>
      <c r="E124" s="55" t="s">
        <v>2</v>
      </c>
      <c r="F124" s="14">
        <v>44608</v>
      </c>
      <c r="G124" s="5" t="s">
        <v>1581</v>
      </c>
      <c r="H124" s="2"/>
      <c r="I124" s="4">
        <v>4656450</v>
      </c>
      <c r="J124" s="4">
        <v>5000000</v>
      </c>
      <c r="K124" s="4">
        <v>16625</v>
      </c>
      <c r="L124" s="2"/>
      <c r="M124" s="5" t="s">
        <v>3160</v>
      </c>
      <c r="N124" s="5" t="s">
        <v>3483</v>
      </c>
      <c r="O124" s="5" t="s">
        <v>3970</v>
      </c>
      <c r="P124" s="21" t="s">
        <v>2</v>
      </c>
      <c r="Q124" s="54" t="s">
        <v>4179</v>
      </c>
    </row>
    <row r="125" spans="2:17" x14ac:dyDescent="0.3">
      <c r="B125" s="18" t="s">
        <v>207</v>
      </c>
      <c r="C125" s="47" t="s">
        <v>2368</v>
      </c>
      <c r="D125" s="15" t="s">
        <v>3330</v>
      </c>
      <c r="E125" s="55" t="s">
        <v>2</v>
      </c>
      <c r="F125" s="14">
        <v>44594</v>
      </c>
      <c r="G125" s="5" t="s">
        <v>2481</v>
      </c>
      <c r="H125" s="2"/>
      <c r="I125" s="4">
        <v>2823750</v>
      </c>
      <c r="J125" s="4">
        <v>3000000</v>
      </c>
      <c r="K125" s="4">
        <v>32927</v>
      </c>
      <c r="L125" s="2"/>
      <c r="M125" s="5" t="s">
        <v>3161</v>
      </c>
      <c r="N125" s="5" t="s">
        <v>2589</v>
      </c>
      <c r="O125" s="5" t="s">
        <v>2</v>
      </c>
      <c r="P125" s="21" t="s">
        <v>2</v>
      </c>
      <c r="Q125" s="54" t="s">
        <v>4179</v>
      </c>
    </row>
    <row r="126" spans="2:17" x14ac:dyDescent="0.3">
      <c r="B126" s="18" t="s">
        <v>1355</v>
      </c>
      <c r="C126" s="47" t="s">
        <v>3163</v>
      </c>
      <c r="D126" s="15" t="s">
        <v>3852</v>
      </c>
      <c r="E126" s="55" t="s">
        <v>2</v>
      </c>
      <c r="F126" s="14">
        <v>44767</v>
      </c>
      <c r="G126" s="5" t="s">
        <v>2482</v>
      </c>
      <c r="H126" s="2"/>
      <c r="I126" s="4">
        <v>4712300</v>
      </c>
      <c r="J126" s="4">
        <v>5000000</v>
      </c>
      <c r="K126" s="4">
        <v>43750</v>
      </c>
      <c r="L126" s="2"/>
      <c r="M126" s="5" t="s">
        <v>3712</v>
      </c>
      <c r="N126" s="5" t="s">
        <v>2369</v>
      </c>
      <c r="O126" s="5" t="s">
        <v>2</v>
      </c>
      <c r="P126" s="21" t="s">
        <v>2</v>
      </c>
      <c r="Q126" s="54" t="s">
        <v>4179</v>
      </c>
    </row>
    <row r="127" spans="2:17" x14ac:dyDescent="0.3">
      <c r="B127" s="18" t="s">
        <v>2483</v>
      </c>
      <c r="C127" s="47" t="s">
        <v>4302</v>
      </c>
      <c r="D127" s="15" t="s">
        <v>1720</v>
      </c>
      <c r="E127" s="55" t="s">
        <v>2</v>
      </c>
      <c r="F127" s="14">
        <v>44594</v>
      </c>
      <c r="G127" s="5" t="s">
        <v>4454</v>
      </c>
      <c r="H127" s="2"/>
      <c r="I127" s="4">
        <v>4950000</v>
      </c>
      <c r="J127" s="4">
        <v>5000000</v>
      </c>
      <c r="K127" s="4">
        <v>33906</v>
      </c>
      <c r="L127" s="2"/>
      <c r="M127" s="5" t="s">
        <v>2370</v>
      </c>
      <c r="N127" s="5" t="s">
        <v>3166</v>
      </c>
      <c r="O127" s="5" t="s">
        <v>824</v>
      </c>
      <c r="P127" s="21" t="s">
        <v>2</v>
      </c>
      <c r="Q127" s="54" t="s">
        <v>4179</v>
      </c>
    </row>
    <row r="128" spans="2:17" x14ac:dyDescent="0.3">
      <c r="B128" s="18" t="s">
        <v>4126</v>
      </c>
      <c r="C128" s="47" t="s">
        <v>577</v>
      </c>
      <c r="D128" s="15" t="s">
        <v>3331</v>
      </c>
      <c r="E128" s="55" t="s">
        <v>2</v>
      </c>
      <c r="F128" s="14">
        <v>44642</v>
      </c>
      <c r="G128" s="5" t="s">
        <v>200</v>
      </c>
      <c r="H128" s="2"/>
      <c r="I128" s="4">
        <v>4676537</v>
      </c>
      <c r="J128" s="4">
        <v>4680000</v>
      </c>
      <c r="K128" s="4">
        <v>0</v>
      </c>
      <c r="L128" s="2"/>
      <c r="M128" s="5" t="s">
        <v>2027</v>
      </c>
      <c r="N128" s="5" t="s">
        <v>1241</v>
      </c>
      <c r="O128" s="5" t="s">
        <v>2</v>
      </c>
      <c r="P128" s="21" t="s">
        <v>2</v>
      </c>
      <c r="Q128" s="54" t="s">
        <v>4179</v>
      </c>
    </row>
    <row r="129" spans="2:17" x14ac:dyDescent="0.3">
      <c r="B129" s="18" t="s">
        <v>715</v>
      </c>
      <c r="C129" s="47" t="s">
        <v>1721</v>
      </c>
      <c r="D129" s="15" t="s">
        <v>4127</v>
      </c>
      <c r="E129" s="55" t="s">
        <v>2</v>
      </c>
      <c r="F129" s="14">
        <v>44810</v>
      </c>
      <c r="G129" s="5" t="s">
        <v>1581</v>
      </c>
      <c r="H129" s="2"/>
      <c r="I129" s="4">
        <v>2493700</v>
      </c>
      <c r="J129" s="4">
        <v>2500000</v>
      </c>
      <c r="K129" s="4">
        <v>0</v>
      </c>
      <c r="L129" s="2"/>
      <c r="M129" s="5" t="s">
        <v>2027</v>
      </c>
      <c r="N129" s="5" t="s">
        <v>1241</v>
      </c>
      <c r="O129" s="5" t="s">
        <v>2</v>
      </c>
      <c r="P129" s="21" t="s">
        <v>2</v>
      </c>
      <c r="Q129" s="54" t="s">
        <v>4179</v>
      </c>
    </row>
    <row r="130" spans="2:17" x14ac:dyDescent="0.3">
      <c r="B130" s="18" t="s">
        <v>1853</v>
      </c>
      <c r="C130" s="47" t="s">
        <v>1535</v>
      </c>
      <c r="D130" s="15" t="s">
        <v>2660</v>
      </c>
      <c r="E130" s="55" t="s">
        <v>2</v>
      </c>
      <c r="F130" s="14">
        <v>44655</v>
      </c>
      <c r="G130" s="5" t="s">
        <v>2981</v>
      </c>
      <c r="H130" s="2"/>
      <c r="I130" s="4">
        <v>9998542</v>
      </c>
      <c r="J130" s="4">
        <v>10000000</v>
      </c>
      <c r="K130" s="4">
        <v>0</v>
      </c>
      <c r="L130" s="2"/>
      <c r="M130" s="5" t="s">
        <v>2</v>
      </c>
      <c r="N130" s="5" t="s">
        <v>418</v>
      </c>
      <c r="O130" s="5" t="s">
        <v>824</v>
      </c>
      <c r="P130" s="21" t="s">
        <v>2</v>
      </c>
      <c r="Q130" s="54" t="s">
        <v>4179</v>
      </c>
    </row>
    <row r="131" spans="2:17" x14ac:dyDescent="0.3">
      <c r="B131" s="18" t="s">
        <v>2989</v>
      </c>
      <c r="C131" s="47" t="s">
        <v>3971</v>
      </c>
      <c r="D131" s="15" t="s">
        <v>1075</v>
      </c>
      <c r="E131" s="55" t="s">
        <v>2</v>
      </c>
      <c r="F131" s="14">
        <v>44781</v>
      </c>
      <c r="G131" s="5" t="s">
        <v>4454</v>
      </c>
      <c r="H131" s="2"/>
      <c r="I131" s="4">
        <v>5717398</v>
      </c>
      <c r="J131" s="4">
        <v>5750000</v>
      </c>
      <c r="K131" s="4">
        <v>0</v>
      </c>
      <c r="L131" s="2"/>
      <c r="M131" s="5" t="s">
        <v>1722</v>
      </c>
      <c r="N131" s="5" t="s">
        <v>339</v>
      </c>
      <c r="O131" s="5" t="s">
        <v>2</v>
      </c>
      <c r="P131" s="21" t="s">
        <v>2</v>
      </c>
      <c r="Q131" s="54" t="s">
        <v>4179</v>
      </c>
    </row>
    <row r="132" spans="2:17" x14ac:dyDescent="0.3">
      <c r="B132" s="18" t="s">
        <v>4128</v>
      </c>
      <c r="C132" s="47" t="s">
        <v>1540</v>
      </c>
      <c r="D132" s="15" t="s">
        <v>3579</v>
      </c>
      <c r="E132" s="55" t="s">
        <v>2</v>
      </c>
      <c r="F132" s="14">
        <v>44579</v>
      </c>
      <c r="G132" s="5" t="s">
        <v>208</v>
      </c>
      <c r="H132" s="2"/>
      <c r="I132" s="4">
        <v>2193295</v>
      </c>
      <c r="J132" s="4">
        <v>2227490</v>
      </c>
      <c r="K132" s="4">
        <v>0</v>
      </c>
      <c r="L132" s="2"/>
      <c r="M132" s="5" t="s">
        <v>2</v>
      </c>
      <c r="N132" s="5" t="s">
        <v>1539</v>
      </c>
      <c r="O132" s="5" t="s">
        <v>824</v>
      </c>
      <c r="P132" s="21" t="s">
        <v>2</v>
      </c>
      <c r="Q132" s="54" t="s">
        <v>4179</v>
      </c>
    </row>
    <row r="133" spans="2:17" x14ac:dyDescent="0.3">
      <c r="B133" s="18" t="s">
        <v>716</v>
      </c>
      <c r="C133" s="47" t="s">
        <v>2664</v>
      </c>
      <c r="D133" s="15" t="s">
        <v>2935</v>
      </c>
      <c r="E133" s="55" t="s">
        <v>2</v>
      </c>
      <c r="F133" s="14">
        <v>44693</v>
      </c>
      <c r="G133" s="5" t="s">
        <v>208</v>
      </c>
      <c r="H133" s="2"/>
      <c r="I133" s="4">
        <v>4226293</v>
      </c>
      <c r="J133" s="4">
        <v>4227380</v>
      </c>
      <c r="K133" s="4">
        <v>0</v>
      </c>
      <c r="L133" s="2"/>
      <c r="M133" s="5" t="s">
        <v>2</v>
      </c>
      <c r="N133" s="5" t="s">
        <v>423</v>
      </c>
      <c r="O133" s="5" t="s">
        <v>824</v>
      </c>
      <c r="P133" s="21" t="s">
        <v>2</v>
      </c>
      <c r="Q133" s="54" t="s">
        <v>4179</v>
      </c>
    </row>
    <row r="134" spans="2:17" x14ac:dyDescent="0.3">
      <c r="B134" s="18" t="s">
        <v>1854</v>
      </c>
      <c r="C134" s="47" t="s">
        <v>675</v>
      </c>
      <c r="D134" s="15" t="s">
        <v>2935</v>
      </c>
      <c r="E134" s="55" t="s">
        <v>2</v>
      </c>
      <c r="F134" s="14">
        <v>44693</v>
      </c>
      <c r="G134" s="5" t="s">
        <v>208</v>
      </c>
      <c r="H134" s="2"/>
      <c r="I134" s="4">
        <v>4226908</v>
      </c>
      <c r="J134" s="4">
        <v>4227380</v>
      </c>
      <c r="K134" s="4">
        <v>0</v>
      </c>
      <c r="L134" s="2"/>
      <c r="M134" s="5" t="s">
        <v>2</v>
      </c>
      <c r="N134" s="5" t="s">
        <v>423</v>
      </c>
      <c r="O134" s="5" t="s">
        <v>824</v>
      </c>
      <c r="P134" s="21" t="s">
        <v>2</v>
      </c>
      <c r="Q134" s="54" t="s">
        <v>4179</v>
      </c>
    </row>
    <row r="135" spans="2:17" x14ac:dyDescent="0.3">
      <c r="B135" s="18" t="s">
        <v>2990</v>
      </c>
      <c r="C135" s="47" t="s">
        <v>2144</v>
      </c>
      <c r="D135" s="15" t="s">
        <v>1021</v>
      </c>
      <c r="E135" s="55" t="s">
        <v>2</v>
      </c>
      <c r="F135" s="14">
        <v>44859</v>
      </c>
      <c r="G135" s="5" t="s">
        <v>200</v>
      </c>
      <c r="H135" s="2"/>
      <c r="I135" s="4">
        <v>4999420</v>
      </c>
      <c r="J135" s="4">
        <v>5000000</v>
      </c>
      <c r="K135" s="4">
        <v>0</v>
      </c>
      <c r="L135" s="2"/>
      <c r="M135" s="5" t="s">
        <v>2</v>
      </c>
      <c r="N135" s="5" t="s">
        <v>1541</v>
      </c>
      <c r="O135" s="5" t="s">
        <v>824</v>
      </c>
      <c r="P135" s="21" t="s">
        <v>2</v>
      </c>
      <c r="Q135" s="54" t="s">
        <v>4179</v>
      </c>
    </row>
    <row r="136" spans="2:17" x14ac:dyDescent="0.3">
      <c r="B136" s="18" t="s">
        <v>4472</v>
      </c>
      <c r="C136" s="47" t="s">
        <v>1810</v>
      </c>
      <c r="D136" s="15" t="s">
        <v>1021</v>
      </c>
      <c r="E136" s="55" t="s">
        <v>2</v>
      </c>
      <c r="F136" s="14">
        <v>44859</v>
      </c>
      <c r="G136" s="5" t="s">
        <v>200</v>
      </c>
      <c r="H136" s="2"/>
      <c r="I136" s="4">
        <v>2749780</v>
      </c>
      <c r="J136" s="4">
        <v>2750000</v>
      </c>
      <c r="K136" s="4">
        <v>0</v>
      </c>
      <c r="L136" s="2"/>
      <c r="M136" s="5" t="s">
        <v>2</v>
      </c>
      <c r="N136" s="5" t="s">
        <v>1541</v>
      </c>
      <c r="O136" s="5" t="s">
        <v>824</v>
      </c>
      <c r="P136" s="21" t="s">
        <v>2</v>
      </c>
      <c r="Q136" s="54" t="s">
        <v>4179</v>
      </c>
    </row>
    <row r="137" spans="2:17" x14ac:dyDescent="0.3">
      <c r="B137" s="18" t="s">
        <v>1076</v>
      </c>
      <c r="C137" s="47" t="s">
        <v>1243</v>
      </c>
      <c r="D137" s="15" t="s">
        <v>340</v>
      </c>
      <c r="E137" s="55" t="s">
        <v>2</v>
      </c>
      <c r="F137" s="14">
        <v>44769</v>
      </c>
      <c r="G137" s="5" t="s">
        <v>1060</v>
      </c>
      <c r="H137" s="2"/>
      <c r="I137" s="4">
        <v>11623600</v>
      </c>
      <c r="J137" s="4">
        <v>12000000</v>
      </c>
      <c r="K137" s="4">
        <v>77476</v>
      </c>
      <c r="L137" s="2"/>
      <c r="M137" s="5" t="s">
        <v>2</v>
      </c>
      <c r="N137" s="5" t="s">
        <v>3168</v>
      </c>
      <c r="O137" s="5" t="s">
        <v>824</v>
      </c>
      <c r="P137" s="21" t="s">
        <v>2</v>
      </c>
      <c r="Q137" s="54" t="s">
        <v>4179</v>
      </c>
    </row>
    <row r="138" spans="2:17" x14ac:dyDescent="0.3">
      <c r="B138" s="18" t="s">
        <v>2991</v>
      </c>
      <c r="C138" s="47" t="s">
        <v>2444</v>
      </c>
      <c r="D138" s="15" t="s">
        <v>3803</v>
      </c>
      <c r="E138" s="55" t="s">
        <v>2</v>
      </c>
      <c r="F138" s="14">
        <v>44736</v>
      </c>
      <c r="G138" s="5" t="s">
        <v>200</v>
      </c>
      <c r="H138" s="2"/>
      <c r="I138" s="4">
        <v>3499285</v>
      </c>
      <c r="J138" s="4">
        <v>3500000</v>
      </c>
      <c r="K138" s="4">
        <v>0</v>
      </c>
      <c r="L138" s="2"/>
      <c r="M138" s="5" t="s">
        <v>2</v>
      </c>
      <c r="N138" s="5" t="s">
        <v>4078</v>
      </c>
      <c r="O138" s="5" t="s">
        <v>824</v>
      </c>
      <c r="P138" s="21" t="s">
        <v>2</v>
      </c>
      <c r="Q138" s="54" t="s">
        <v>4179</v>
      </c>
    </row>
    <row r="139" spans="2:17" x14ac:dyDescent="0.3">
      <c r="B139" s="18" t="s">
        <v>4129</v>
      </c>
      <c r="C139" s="47" t="s">
        <v>2032</v>
      </c>
      <c r="D139" s="15" t="s">
        <v>4473</v>
      </c>
      <c r="E139" s="55" t="s">
        <v>2</v>
      </c>
      <c r="F139" s="14">
        <v>44580</v>
      </c>
      <c r="G139" s="5" t="s">
        <v>920</v>
      </c>
      <c r="H139" s="2"/>
      <c r="I139" s="4">
        <v>5000000</v>
      </c>
      <c r="J139" s="4">
        <v>5000000</v>
      </c>
      <c r="K139" s="4">
        <v>0</v>
      </c>
      <c r="L139" s="2"/>
      <c r="M139" s="5" t="s">
        <v>921</v>
      </c>
      <c r="N139" s="5" t="s">
        <v>920</v>
      </c>
      <c r="O139" s="5" t="s">
        <v>2</v>
      </c>
      <c r="P139" s="21" t="s">
        <v>2</v>
      </c>
      <c r="Q139" s="54" t="s">
        <v>4179</v>
      </c>
    </row>
    <row r="140" spans="2:17" x14ac:dyDescent="0.3">
      <c r="B140" s="18" t="s">
        <v>717</v>
      </c>
      <c r="C140" s="47" t="s">
        <v>3180</v>
      </c>
      <c r="D140" s="15" t="s">
        <v>2992</v>
      </c>
      <c r="E140" s="55" t="s">
        <v>2</v>
      </c>
      <c r="F140" s="14">
        <v>44669</v>
      </c>
      <c r="G140" s="5" t="s">
        <v>920</v>
      </c>
      <c r="H140" s="2"/>
      <c r="I140" s="4">
        <v>5000000</v>
      </c>
      <c r="J140" s="4">
        <v>5000000</v>
      </c>
      <c r="K140" s="4">
        <v>0</v>
      </c>
      <c r="L140" s="2"/>
      <c r="M140" s="5" t="s">
        <v>921</v>
      </c>
      <c r="N140" s="5" t="s">
        <v>920</v>
      </c>
      <c r="O140" s="5" t="s">
        <v>2</v>
      </c>
      <c r="P140" s="21" t="s">
        <v>2</v>
      </c>
      <c r="Q140" s="54" t="s">
        <v>4179</v>
      </c>
    </row>
    <row r="141" spans="2:17" x14ac:dyDescent="0.3">
      <c r="B141" s="18" t="s">
        <v>1855</v>
      </c>
      <c r="C141" s="47" t="s">
        <v>4311</v>
      </c>
      <c r="D141" s="15" t="s">
        <v>4130</v>
      </c>
      <c r="E141" s="55" t="s">
        <v>2</v>
      </c>
      <c r="F141" s="14">
        <v>44760</v>
      </c>
      <c r="G141" s="5" t="s">
        <v>920</v>
      </c>
      <c r="H141" s="2"/>
      <c r="I141" s="4">
        <v>5000000</v>
      </c>
      <c r="J141" s="4">
        <v>5000000</v>
      </c>
      <c r="K141" s="4">
        <v>0</v>
      </c>
      <c r="L141" s="2"/>
      <c r="M141" s="5" t="s">
        <v>921</v>
      </c>
      <c r="N141" s="5" t="s">
        <v>920</v>
      </c>
      <c r="O141" s="5" t="s">
        <v>2</v>
      </c>
      <c r="P141" s="21" t="s">
        <v>2</v>
      </c>
      <c r="Q141" s="54" t="s">
        <v>4179</v>
      </c>
    </row>
    <row r="142" spans="2:17" x14ac:dyDescent="0.3">
      <c r="B142" s="18" t="s">
        <v>2993</v>
      </c>
      <c r="C142" s="47" t="s">
        <v>1734</v>
      </c>
      <c r="D142" s="15" t="s">
        <v>344</v>
      </c>
      <c r="E142" s="55" t="s">
        <v>2</v>
      </c>
      <c r="F142" s="14">
        <v>44599</v>
      </c>
      <c r="G142" s="5" t="s">
        <v>2981</v>
      </c>
      <c r="H142" s="2"/>
      <c r="I142" s="4">
        <v>2955000</v>
      </c>
      <c r="J142" s="4">
        <v>3000000</v>
      </c>
      <c r="K142" s="4">
        <v>18000</v>
      </c>
      <c r="L142" s="2"/>
      <c r="M142" s="5" t="s">
        <v>3493</v>
      </c>
      <c r="N142" s="5" t="s">
        <v>4312</v>
      </c>
      <c r="O142" s="5" t="s">
        <v>824</v>
      </c>
      <c r="P142" s="21" t="s">
        <v>2</v>
      </c>
      <c r="Q142" s="54" t="s">
        <v>4179</v>
      </c>
    </row>
    <row r="143" spans="2:17" x14ac:dyDescent="0.3">
      <c r="B143" s="18" t="s">
        <v>4131</v>
      </c>
      <c r="C143" s="47" t="s">
        <v>3497</v>
      </c>
      <c r="D143" s="15" t="s">
        <v>345</v>
      </c>
      <c r="E143" s="55" t="s">
        <v>2</v>
      </c>
      <c r="F143" s="14">
        <v>44783</v>
      </c>
      <c r="G143" s="5" t="s">
        <v>3310</v>
      </c>
      <c r="H143" s="2"/>
      <c r="I143" s="4">
        <v>5480145</v>
      </c>
      <c r="J143" s="4">
        <v>5500000</v>
      </c>
      <c r="K143" s="4">
        <v>0</v>
      </c>
      <c r="L143" s="2"/>
      <c r="M143" s="5" t="s">
        <v>92</v>
      </c>
      <c r="N143" s="5" t="s">
        <v>2036</v>
      </c>
      <c r="O143" s="5" t="s">
        <v>2379</v>
      </c>
      <c r="P143" s="21" t="s">
        <v>2</v>
      </c>
      <c r="Q143" s="54" t="s">
        <v>4179</v>
      </c>
    </row>
    <row r="144" spans="2:17" x14ac:dyDescent="0.3">
      <c r="B144" s="18" t="s">
        <v>718</v>
      </c>
      <c r="C144" s="47" t="s">
        <v>927</v>
      </c>
      <c r="D144" s="15" t="s">
        <v>590</v>
      </c>
      <c r="E144" s="55" t="s">
        <v>2</v>
      </c>
      <c r="F144" s="14">
        <v>44910</v>
      </c>
      <c r="G144" s="5" t="s">
        <v>3310</v>
      </c>
      <c r="H144" s="2"/>
      <c r="I144" s="4">
        <v>6000000</v>
      </c>
      <c r="J144" s="4">
        <v>6000000</v>
      </c>
      <c r="K144" s="4">
        <v>0</v>
      </c>
      <c r="L144" s="2"/>
      <c r="M144" s="5" t="s">
        <v>2</v>
      </c>
      <c r="N144" s="5" t="s">
        <v>926</v>
      </c>
      <c r="O144" s="5" t="s">
        <v>3184</v>
      </c>
      <c r="P144" s="21" t="s">
        <v>2</v>
      </c>
      <c r="Q144" s="54" t="s">
        <v>4179</v>
      </c>
    </row>
    <row r="145" spans="2:17" x14ac:dyDescent="0.3">
      <c r="B145" s="18" t="s">
        <v>2200</v>
      </c>
      <c r="C145" s="47" t="s">
        <v>2597</v>
      </c>
      <c r="D145" s="15" t="s">
        <v>1077</v>
      </c>
      <c r="E145" s="55" t="s">
        <v>2</v>
      </c>
      <c r="F145" s="14">
        <v>44771</v>
      </c>
      <c r="G145" s="5" t="s">
        <v>3313</v>
      </c>
      <c r="H145" s="2"/>
      <c r="I145" s="4">
        <v>10000000</v>
      </c>
      <c r="J145" s="4">
        <v>10000000</v>
      </c>
      <c r="K145" s="4">
        <v>0</v>
      </c>
      <c r="L145" s="2"/>
      <c r="M145" s="5" t="s">
        <v>349</v>
      </c>
      <c r="N145" s="5" t="s">
        <v>4321</v>
      </c>
      <c r="O145" s="5" t="s">
        <v>2</v>
      </c>
      <c r="P145" s="21" t="s">
        <v>2</v>
      </c>
      <c r="Q145" s="54" t="s">
        <v>4179</v>
      </c>
    </row>
    <row r="146" spans="2:17" x14ac:dyDescent="0.3">
      <c r="B146" s="18" t="s">
        <v>3332</v>
      </c>
      <c r="C146" s="47" t="s">
        <v>3191</v>
      </c>
      <c r="D146" s="15" t="s">
        <v>2994</v>
      </c>
      <c r="E146" s="55" t="s">
        <v>2</v>
      </c>
      <c r="F146" s="14">
        <v>44777</v>
      </c>
      <c r="G146" s="5" t="s">
        <v>4466</v>
      </c>
      <c r="H146" s="2"/>
      <c r="I146" s="4">
        <v>3471895</v>
      </c>
      <c r="J146" s="4">
        <v>3500000</v>
      </c>
      <c r="K146" s="4">
        <v>0</v>
      </c>
      <c r="L146" s="2"/>
      <c r="M146" s="5" t="s">
        <v>2600</v>
      </c>
      <c r="N146" s="5" t="s">
        <v>2855</v>
      </c>
      <c r="O146" s="5" t="s">
        <v>2</v>
      </c>
      <c r="P146" s="21" t="s">
        <v>2</v>
      </c>
      <c r="Q146" s="54" t="s">
        <v>4179</v>
      </c>
    </row>
    <row r="147" spans="2:17" x14ac:dyDescent="0.3">
      <c r="B147" s="18" t="s">
        <v>4474</v>
      </c>
      <c r="C147" s="47" t="s">
        <v>4324</v>
      </c>
      <c r="D147" s="15" t="s">
        <v>3984</v>
      </c>
      <c r="E147" s="55" t="s">
        <v>2</v>
      </c>
      <c r="F147" s="14">
        <v>44607</v>
      </c>
      <c r="G147" s="5" t="s">
        <v>1349</v>
      </c>
      <c r="H147" s="2"/>
      <c r="I147" s="4">
        <v>4901450</v>
      </c>
      <c r="J147" s="4">
        <v>5000000</v>
      </c>
      <c r="K147" s="4">
        <v>8854</v>
      </c>
      <c r="L147" s="2"/>
      <c r="M147" s="5" t="s">
        <v>936</v>
      </c>
      <c r="N147" s="5" t="s">
        <v>937</v>
      </c>
      <c r="O147" s="5" t="s">
        <v>2857</v>
      </c>
      <c r="P147" s="21" t="s">
        <v>2</v>
      </c>
      <c r="Q147" s="54" t="s">
        <v>4179</v>
      </c>
    </row>
    <row r="148" spans="2:17" x14ac:dyDescent="0.3">
      <c r="B148" s="18" t="s">
        <v>1856</v>
      </c>
      <c r="C148" s="47" t="s">
        <v>353</v>
      </c>
      <c r="D148" s="15" t="s">
        <v>719</v>
      </c>
      <c r="E148" s="55" t="s">
        <v>2</v>
      </c>
      <c r="F148" s="14">
        <v>44718</v>
      </c>
      <c r="G148" s="5" t="s">
        <v>1349</v>
      </c>
      <c r="H148" s="2"/>
      <c r="I148" s="4">
        <v>9878220</v>
      </c>
      <c r="J148" s="4">
        <v>9900000</v>
      </c>
      <c r="K148" s="4">
        <v>0</v>
      </c>
      <c r="L148" s="2"/>
      <c r="M148" s="5" t="s">
        <v>4329</v>
      </c>
      <c r="N148" s="5" t="s">
        <v>4328</v>
      </c>
      <c r="O148" s="5" t="s">
        <v>2</v>
      </c>
      <c r="P148" s="21" t="s">
        <v>2</v>
      </c>
      <c r="Q148" s="54" t="s">
        <v>4179</v>
      </c>
    </row>
    <row r="149" spans="2:17" x14ac:dyDescent="0.3">
      <c r="B149" s="18" t="s">
        <v>2995</v>
      </c>
      <c r="C149" s="47" t="s">
        <v>359</v>
      </c>
      <c r="D149" s="15" t="s">
        <v>2602</v>
      </c>
      <c r="E149" s="55" t="s">
        <v>2</v>
      </c>
      <c r="F149" s="14">
        <v>44599</v>
      </c>
      <c r="G149" s="5" t="s">
        <v>2979</v>
      </c>
      <c r="H149" s="2"/>
      <c r="I149" s="4">
        <v>15282478</v>
      </c>
      <c r="J149" s="4">
        <v>15285769</v>
      </c>
      <c r="K149" s="4">
        <v>0</v>
      </c>
      <c r="L149" s="2"/>
      <c r="M149" s="5" t="s">
        <v>2</v>
      </c>
      <c r="N149" s="5" t="s">
        <v>599</v>
      </c>
      <c r="O149" s="5" t="s">
        <v>824</v>
      </c>
      <c r="P149" s="21" t="s">
        <v>2</v>
      </c>
      <c r="Q149" s="54" t="s">
        <v>4179</v>
      </c>
    </row>
    <row r="150" spans="2:17" x14ac:dyDescent="0.3">
      <c r="B150" s="18" t="s">
        <v>4132</v>
      </c>
      <c r="C150" s="47" t="s">
        <v>3729</v>
      </c>
      <c r="D150" s="15" t="s">
        <v>2389</v>
      </c>
      <c r="E150" s="55" t="s">
        <v>2</v>
      </c>
      <c r="F150" s="14">
        <v>44628</v>
      </c>
      <c r="G150" s="5" t="s">
        <v>1060</v>
      </c>
      <c r="H150" s="2"/>
      <c r="I150" s="4">
        <v>14831030</v>
      </c>
      <c r="J150" s="4">
        <v>15000000</v>
      </c>
      <c r="K150" s="4">
        <v>0</v>
      </c>
      <c r="L150" s="2"/>
      <c r="M150" s="5" t="s">
        <v>2605</v>
      </c>
      <c r="N150" s="5" t="s">
        <v>106</v>
      </c>
      <c r="O150" s="5" t="s">
        <v>824</v>
      </c>
      <c r="P150" s="21" t="s">
        <v>2</v>
      </c>
      <c r="Q150" s="54" t="s">
        <v>4179</v>
      </c>
    </row>
    <row r="151" spans="2:17" x14ac:dyDescent="0.3">
      <c r="B151" s="18" t="s">
        <v>720</v>
      </c>
      <c r="C151" s="47" t="s">
        <v>1265</v>
      </c>
      <c r="D151" s="15" t="s">
        <v>3509</v>
      </c>
      <c r="E151" s="55" t="s">
        <v>2</v>
      </c>
      <c r="F151" s="14">
        <v>44564</v>
      </c>
      <c r="G151" s="5" t="s">
        <v>4454</v>
      </c>
      <c r="H151" s="2"/>
      <c r="I151" s="4">
        <v>5000000</v>
      </c>
      <c r="J151" s="4">
        <v>5000000</v>
      </c>
      <c r="K151" s="4">
        <v>0</v>
      </c>
      <c r="L151" s="2"/>
      <c r="M151" s="5" t="s">
        <v>2</v>
      </c>
      <c r="N151" s="5" t="s">
        <v>3509</v>
      </c>
      <c r="O151" s="5" t="s">
        <v>2</v>
      </c>
      <c r="P151" s="21" t="s">
        <v>2</v>
      </c>
      <c r="Q151" s="54" t="s">
        <v>4179</v>
      </c>
    </row>
    <row r="152" spans="2:17" x14ac:dyDescent="0.3">
      <c r="B152" s="18" t="s">
        <v>1857</v>
      </c>
      <c r="C152" s="47" t="s">
        <v>1024</v>
      </c>
      <c r="D152" s="15" t="s">
        <v>3580</v>
      </c>
      <c r="E152" s="55" t="s">
        <v>2</v>
      </c>
      <c r="F152" s="14">
        <v>44750</v>
      </c>
      <c r="G152" s="5" t="s">
        <v>200</v>
      </c>
      <c r="H152" s="2"/>
      <c r="I152" s="4">
        <v>3979931</v>
      </c>
      <c r="J152" s="4">
        <v>3980173</v>
      </c>
      <c r="K152" s="4">
        <v>0</v>
      </c>
      <c r="L152" s="2"/>
      <c r="M152" s="5" t="s">
        <v>2</v>
      </c>
      <c r="N152" s="5" t="s">
        <v>2668</v>
      </c>
      <c r="O152" s="5" t="s">
        <v>824</v>
      </c>
      <c r="P152" s="21" t="s">
        <v>2</v>
      </c>
      <c r="Q152" s="54" t="s">
        <v>4179</v>
      </c>
    </row>
    <row r="153" spans="2:17" x14ac:dyDescent="0.3">
      <c r="B153" s="18" t="s">
        <v>3333</v>
      </c>
      <c r="C153" s="47" t="s">
        <v>1025</v>
      </c>
      <c r="D153" s="15" t="s">
        <v>3580</v>
      </c>
      <c r="E153" s="55" t="s">
        <v>2</v>
      </c>
      <c r="F153" s="14">
        <v>44750</v>
      </c>
      <c r="G153" s="5" t="s">
        <v>200</v>
      </c>
      <c r="H153" s="2"/>
      <c r="I153" s="4">
        <v>4169024</v>
      </c>
      <c r="J153" s="4">
        <v>4169706</v>
      </c>
      <c r="K153" s="4">
        <v>0</v>
      </c>
      <c r="L153" s="2"/>
      <c r="M153" s="5" t="s">
        <v>2</v>
      </c>
      <c r="N153" s="5" t="s">
        <v>2668</v>
      </c>
      <c r="O153" s="5" t="s">
        <v>824</v>
      </c>
      <c r="P153" s="21" t="s">
        <v>2</v>
      </c>
      <c r="Q153" s="54" t="s">
        <v>4179</v>
      </c>
    </row>
    <row r="154" spans="2:17" x14ac:dyDescent="0.3">
      <c r="B154" s="18" t="s">
        <v>4475</v>
      </c>
      <c r="C154" s="47" t="s">
        <v>3809</v>
      </c>
      <c r="D154" s="15" t="s">
        <v>4086</v>
      </c>
      <c r="E154" s="55" t="s">
        <v>2</v>
      </c>
      <c r="F154" s="14">
        <v>44846</v>
      </c>
      <c r="G154" s="5" t="s">
        <v>208</v>
      </c>
      <c r="H154" s="2"/>
      <c r="I154" s="4">
        <v>4465194</v>
      </c>
      <c r="J154" s="4">
        <v>4466414</v>
      </c>
      <c r="K154" s="4">
        <v>0</v>
      </c>
      <c r="L154" s="2"/>
      <c r="M154" s="5" t="s">
        <v>2</v>
      </c>
      <c r="N154" s="5" t="s">
        <v>3582</v>
      </c>
      <c r="O154" s="5" t="s">
        <v>824</v>
      </c>
      <c r="P154" s="21" t="s">
        <v>2</v>
      </c>
      <c r="Q154" s="54" t="s">
        <v>4179</v>
      </c>
    </row>
    <row r="155" spans="2:17" x14ac:dyDescent="0.3">
      <c r="B155" s="18" t="s">
        <v>1078</v>
      </c>
      <c r="C155" s="47" t="s">
        <v>3810</v>
      </c>
      <c r="D155" s="15" t="s">
        <v>4086</v>
      </c>
      <c r="E155" s="55" t="s">
        <v>2</v>
      </c>
      <c r="F155" s="14">
        <v>44846</v>
      </c>
      <c r="G155" s="5" t="s">
        <v>208</v>
      </c>
      <c r="H155" s="2"/>
      <c r="I155" s="4">
        <v>4465523</v>
      </c>
      <c r="J155" s="4">
        <v>4466414</v>
      </c>
      <c r="K155" s="4">
        <v>0</v>
      </c>
      <c r="L155" s="2"/>
      <c r="M155" s="5" t="s">
        <v>2</v>
      </c>
      <c r="N155" s="5" t="s">
        <v>3582</v>
      </c>
      <c r="O155" s="5" t="s">
        <v>824</v>
      </c>
      <c r="P155" s="21" t="s">
        <v>2</v>
      </c>
      <c r="Q155" s="54" t="s">
        <v>4179</v>
      </c>
    </row>
    <row r="156" spans="2:17" x14ac:dyDescent="0.3">
      <c r="B156" s="18" t="s">
        <v>2201</v>
      </c>
      <c r="C156" s="47" t="s">
        <v>3211</v>
      </c>
      <c r="D156" s="15" t="s">
        <v>2066</v>
      </c>
      <c r="E156" s="55" t="s">
        <v>2</v>
      </c>
      <c r="F156" s="14">
        <v>44691</v>
      </c>
      <c r="G156" s="5" t="s">
        <v>920</v>
      </c>
      <c r="H156" s="2"/>
      <c r="I156" s="4">
        <v>3000000</v>
      </c>
      <c r="J156" s="4">
        <v>3000000</v>
      </c>
      <c r="K156" s="4">
        <v>0</v>
      </c>
      <c r="L156" s="2"/>
      <c r="M156" s="5" t="s">
        <v>4002</v>
      </c>
      <c r="N156" s="5" t="s">
        <v>2066</v>
      </c>
      <c r="O156" s="5" t="s">
        <v>2</v>
      </c>
      <c r="P156" s="21" t="s">
        <v>2</v>
      </c>
      <c r="Q156" s="54" t="s">
        <v>4179</v>
      </c>
    </row>
    <row r="157" spans="2:17" x14ac:dyDescent="0.3">
      <c r="B157" s="18" t="s">
        <v>3334</v>
      </c>
      <c r="C157" s="47" t="s">
        <v>2395</v>
      </c>
      <c r="D157" s="15" t="s">
        <v>209</v>
      </c>
      <c r="E157" s="55" t="s">
        <v>2</v>
      </c>
      <c r="F157" s="14">
        <v>44816</v>
      </c>
      <c r="G157" s="5" t="s">
        <v>1349</v>
      </c>
      <c r="H157" s="2"/>
      <c r="I157" s="4">
        <v>4992050</v>
      </c>
      <c r="J157" s="4">
        <v>5000000</v>
      </c>
      <c r="K157" s="4">
        <v>0</v>
      </c>
      <c r="L157" s="2"/>
      <c r="M157" s="5" t="s">
        <v>607</v>
      </c>
      <c r="N157" s="5" t="s">
        <v>113</v>
      </c>
      <c r="O157" s="5" t="s">
        <v>2</v>
      </c>
      <c r="P157" s="21" t="s">
        <v>2</v>
      </c>
      <c r="Q157" s="54" t="s">
        <v>4179</v>
      </c>
    </row>
    <row r="158" spans="2:17" x14ac:dyDescent="0.3">
      <c r="B158" s="18" t="s">
        <v>721</v>
      </c>
      <c r="C158" s="47" t="s">
        <v>2148</v>
      </c>
      <c r="D158" s="15" t="s">
        <v>2448</v>
      </c>
      <c r="E158" s="55" t="s">
        <v>2</v>
      </c>
      <c r="F158" s="14">
        <v>44601</v>
      </c>
      <c r="G158" s="5" t="s">
        <v>2199</v>
      </c>
      <c r="H158" s="2"/>
      <c r="I158" s="4">
        <v>4705594</v>
      </c>
      <c r="J158" s="4">
        <v>4950000</v>
      </c>
      <c r="K158" s="4">
        <v>26564</v>
      </c>
      <c r="L158" s="2"/>
      <c r="M158" s="5" t="s">
        <v>2</v>
      </c>
      <c r="N158" s="5" t="s">
        <v>4428</v>
      </c>
      <c r="O158" s="5" t="s">
        <v>824</v>
      </c>
      <c r="P158" s="21" t="s">
        <v>2</v>
      </c>
      <c r="Q158" s="54" t="s">
        <v>4179</v>
      </c>
    </row>
    <row r="159" spans="2:17" x14ac:dyDescent="0.3">
      <c r="B159" s="18" t="s">
        <v>1858</v>
      </c>
      <c r="C159" s="47" t="s">
        <v>1269</v>
      </c>
      <c r="D159" s="15" t="s">
        <v>2694</v>
      </c>
      <c r="E159" s="55" t="s">
        <v>2</v>
      </c>
      <c r="F159" s="14">
        <v>44602</v>
      </c>
      <c r="G159" s="5" t="s">
        <v>1581</v>
      </c>
      <c r="H159" s="2"/>
      <c r="I159" s="4">
        <v>4942250</v>
      </c>
      <c r="J159" s="4">
        <v>5000000</v>
      </c>
      <c r="K159" s="4">
        <v>30417</v>
      </c>
      <c r="L159" s="2"/>
      <c r="M159" s="5" t="s">
        <v>609</v>
      </c>
      <c r="N159" s="5" t="s">
        <v>362</v>
      </c>
      <c r="O159" s="5" t="s">
        <v>2</v>
      </c>
      <c r="P159" s="21" t="s">
        <v>2</v>
      </c>
      <c r="Q159" s="54" t="s">
        <v>4179</v>
      </c>
    </row>
    <row r="160" spans="2:17" x14ac:dyDescent="0.3">
      <c r="B160" s="18" t="s">
        <v>2996</v>
      </c>
      <c r="C160" s="47" t="s">
        <v>3736</v>
      </c>
      <c r="D160" s="15" t="s">
        <v>458</v>
      </c>
      <c r="E160" s="55" t="s">
        <v>2</v>
      </c>
      <c r="F160" s="14">
        <v>44713</v>
      </c>
      <c r="G160" s="5" t="s">
        <v>1058</v>
      </c>
      <c r="H160" s="2"/>
      <c r="I160" s="4">
        <v>4800000</v>
      </c>
      <c r="J160" s="4">
        <v>4800000</v>
      </c>
      <c r="K160" s="4">
        <v>0</v>
      </c>
      <c r="L160" s="2"/>
      <c r="M160" s="5" t="s">
        <v>3089</v>
      </c>
      <c r="N160" s="5" t="s">
        <v>3924</v>
      </c>
      <c r="O160" s="5" t="s">
        <v>2</v>
      </c>
      <c r="P160" s="21" t="s">
        <v>2</v>
      </c>
      <c r="Q160" s="54" t="s">
        <v>4179</v>
      </c>
    </row>
    <row r="161" spans="2:17" x14ac:dyDescent="0.3">
      <c r="B161" s="18" t="s">
        <v>4133</v>
      </c>
      <c r="C161" s="47" t="s">
        <v>1757</v>
      </c>
      <c r="D161" s="15" t="s">
        <v>119</v>
      </c>
      <c r="E161" s="55" t="s">
        <v>2</v>
      </c>
      <c r="F161" s="14">
        <v>44592</v>
      </c>
      <c r="G161" s="5" t="s">
        <v>2695</v>
      </c>
      <c r="H161" s="2"/>
      <c r="I161" s="4">
        <v>23000000</v>
      </c>
      <c r="J161" s="4">
        <v>23000000</v>
      </c>
      <c r="K161" s="4">
        <v>0</v>
      </c>
      <c r="L161" s="2"/>
      <c r="M161" s="5" t="s">
        <v>2</v>
      </c>
      <c r="N161" s="5" t="s">
        <v>119</v>
      </c>
      <c r="O161" s="5" t="s">
        <v>2</v>
      </c>
      <c r="P161" s="21" t="s">
        <v>2</v>
      </c>
      <c r="Q161" s="54" t="s">
        <v>4179</v>
      </c>
    </row>
    <row r="162" spans="2:17" x14ac:dyDescent="0.3">
      <c r="B162" s="18" t="s">
        <v>1079</v>
      </c>
      <c r="C162" s="47" t="s">
        <v>615</v>
      </c>
      <c r="D162" s="15" t="s">
        <v>2077</v>
      </c>
      <c r="E162" s="55" t="s">
        <v>2</v>
      </c>
      <c r="F162" s="14">
        <v>44925</v>
      </c>
      <c r="G162" s="5" t="s">
        <v>4453</v>
      </c>
      <c r="H162" s="2"/>
      <c r="I162" s="4">
        <v>2890842</v>
      </c>
      <c r="J162" s="4">
        <v>3000000</v>
      </c>
      <c r="K162" s="4">
        <v>16563</v>
      </c>
      <c r="L162" s="2"/>
      <c r="M162" s="5" t="s">
        <v>1758</v>
      </c>
      <c r="N162" s="5" t="s">
        <v>2077</v>
      </c>
      <c r="O162" s="5" t="s">
        <v>2</v>
      </c>
      <c r="P162" s="21" t="s">
        <v>2</v>
      </c>
      <c r="Q162" s="54" t="s">
        <v>4179</v>
      </c>
    </row>
    <row r="163" spans="2:17" x14ac:dyDescent="0.3">
      <c r="B163" s="18" t="s">
        <v>2202</v>
      </c>
      <c r="C163" s="47" t="s">
        <v>617</v>
      </c>
      <c r="D163" s="15" t="s">
        <v>2879</v>
      </c>
      <c r="E163" s="55" t="s">
        <v>2</v>
      </c>
      <c r="F163" s="14">
        <v>44798</v>
      </c>
      <c r="G163" s="5" t="s">
        <v>1058</v>
      </c>
      <c r="H163" s="2"/>
      <c r="I163" s="4">
        <v>1837760</v>
      </c>
      <c r="J163" s="4">
        <v>2000000</v>
      </c>
      <c r="K163" s="4">
        <v>17111</v>
      </c>
      <c r="L163" s="2"/>
      <c r="M163" s="5" t="s">
        <v>2</v>
      </c>
      <c r="N163" s="5" t="s">
        <v>2879</v>
      </c>
      <c r="O163" s="5" t="s">
        <v>2</v>
      </c>
      <c r="P163" s="21" t="s">
        <v>2</v>
      </c>
      <c r="Q163" s="54" t="s">
        <v>4179</v>
      </c>
    </row>
    <row r="164" spans="2:17" x14ac:dyDescent="0.3">
      <c r="B164" s="18" t="s">
        <v>3335</v>
      </c>
      <c r="C164" s="47" t="s">
        <v>3520</v>
      </c>
      <c r="D164" s="15" t="s">
        <v>210</v>
      </c>
      <c r="E164" s="55" t="s">
        <v>2</v>
      </c>
      <c r="F164" s="14">
        <v>44760</v>
      </c>
      <c r="G164" s="5" t="s">
        <v>4461</v>
      </c>
      <c r="H164" s="2"/>
      <c r="I164" s="4">
        <v>5000000</v>
      </c>
      <c r="J164" s="4">
        <v>5000000</v>
      </c>
      <c r="K164" s="4">
        <v>0</v>
      </c>
      <c r="L164" s="2"/>
      <c r="M164" s="5" t="s">
        <v>1762</v>
      </c>
      <c r="N164" s="5" t="s">
        <v>3519</v>
      </c>
      <c r="O164" s="5" t="s">
        <v>2</v>
      </c>
      <c r="P164" s="21" t="s">
        <v>2</v>
      </c>
      <c r="Q164" s="54" t="s">
        <v>4179</v>
      </c>
    </row>
    <row r="165" spans="2:17" x14ac:dyDescent="0.3">
      <c r="B165" s="18" t="s">
        <v>4476</v>
      </c>
      <c r="C165" s="47" t="s">
        <v>178</v>
      </c>
      <c r="D165" s="15" t="s">
        <v>4434</v>
      </c>
      <c r="E165" s="55" t="s">
        <v>2</v>
      </c>
      <c r="F165" s="14">
        <v>44631</v>
      </c>
      <c r="G165" s="5" t="s">
        <v>4466</v>
      </c>
      <c r="H165" s="2"/>
      <c r="I165" s="4">
        <v>9999583</v>
      </c>
      <c r="J165" s="4">
        <v>10000000</v>
      </c>
      <c r="K165" s="4">
        <v>0</v>
      </c>
      <c r="L165" s="2"/>
      <c r="M165" s="5" t="s">
        <v>2</v>
      </c>
      <c r="N165" s="5" t="s">
        <v>3819</v>
      </c>
      <c r="O165" s="5" t="s">
        <v>824</v>
      </c>
      <c r="P165" s="21" t="s">
        <v>2</v>
      </c>
      <c r="Q165" s="54" t="s">
        <v>4179</v>
      </c>
    </row>
    <row r="166" spans="2:17" x14ac:dyDescent="0.3">
      <c r="B166" s="18" t="s">
        <v>1080</v>
      </c>
      <c r="C166" s="47" t="s">
        <v>2087</v>
      </c>
      <c r="D166" s="15" t="s">
        <v>1492</v>
      </c>
      <c r="E166" s="55" t="s">
        <v>2</v>
      </c>
      <c r="F166" s="14">
        <v>44693</v>
      </c>
      <c r="G166" s="5" t="s">
        <v>1349</v>
      </c>
      <c r="H166" s="2"/>
      <c r="I166" s="4">
        <v>4597930</v>
      </c>
      <c r="J166" s="4">
        <v>4600000</v>
      </c>
      <c r="K166" s="4">
        <v>0</v>
      </c>
      <c r="L166" s="2"/>
      <c r="M166" s="5" t="s">
        <v>2</v>
      </c>
      <c r="N166" s="5" t="s">
        <v>1492</v>
      </c>
      <c r="O166" s="5" t="s">
        <v>2</v>
      </c>
      <c r="P166" s="21" t="s">
        <v>2</v>
      </c>
      <c r="Q166" s="54" t="s">
        <v>4179</v>
      </c>
    </row>
    <row r="167" spans="2:17" x14ac:dyDescent="0.3">
      <c r="B167" s="18" t="s">
        <v>2203</v>
      </c>
      <c r="C167" s="47" t="s">
        <v>975</v>
      </c>
      <c r="D167" s="15" t="s">
        <v>1356</v>
      </c>
      <c r="E167" s="55" t="s">
        <v>2</v>
      </c>
      <c r="F167" s="14">
        <v>44579</v>
      </c>
      <c r="G167" s="5" t="s">
        <v>1357</v>
      </c>
      <c r="H167" s="2"/>
      <c r="I167" s="4">
        <v>4636620</v>
      </c>
      <c r="J167" s="4">
        <v>4500000</v>
      </c>
      <c r="K167" s="4">
        <v>10379</v>
      </c>
      <c r="L167" s="2"/>
      <c r="M167" s="5" t="s">
        <v>2</v>
      </c>
      <c r="N167" s="5" t="s">
        <v>3748</v>
      </c>
      <c r="O167" s="5" t="s">
        <v>2</v>
      </c>
      <c r="P167" s="21" t="s">
        <v>2</v>
      </c>
      <c r="Q167" s="54" t="s">
        <v>4179</v>
      </c>
    </row>
    <row r="168" spans="2:17" x14ac:dyDescent="0.3">
      <c r="B168" s="18" t="s">
        <v>4134</v>
      </c>
      <c r="C168" s="47" t="s">
        <v>4096</v>
      </c>
      <c r="D168" s="15" t="s">
        <v>1329</v>
      </c>
      <c r="E168" s="55" t="s">
        <v>2</v>
      </c>
      <c r="F168" s="14">
        <v>44902</v>
      </c>
      <c r="G168" s="5" t="s">
        <v>2695</v>
      </c>
      <c r="H168" s="2"/>
      <c r="I168" s="4">
        <v>2499926</v>
      </c>
      <c r="J168" s="4">
        <v>2500000</v>
      </c>
      <c r="K168" s="4">
        <v>0</v>
      </c>
      <c r="L168" s="2"/>
      <c r="M168" s="5" t="s">
        <v>2</v>
      </c>
      <c r="N168" s="5" t="s">
        <v>3820</v>
      </c>
      <c r="O168" s="5" t="s">
        <v>824</v>
      </c>
      <c r="P168" s="21" t="s">
        <v>2</v>
      </c>
      <c r="Q168" s="54" t="s">
        <v>4179</v>
      </c>
    </row>
    <row r="169" spans="2:17" x14ac:dyDescent="0.3">
      <c r="B169" s="18" t="s">
        <v>722</v>
      </c>
      <c r="C169" s="47" t="s">
        <v>620</v>
      </c>
      <c r="D169" s="15" t="s">
        <v>4025</v>
      </c>
      <c r="E169" s="55" t="s">
        <v>2</v>
      </c>
      <c r="F169" s="14">
        <v>44784</v>
      </c>
      <c r="G169" s="5" t="s">
        <v>200</v>
      </c>
      <c r="H169" s="2"/>
      <c r="I169" s="4">
        <v>4992800</v>
      </c>
      <c r="J169" s="4">
        <v>5000000</v>
      </c>
      <c r="K169" s="4">
        <v>0</v>
      </c>
      <c r="L169" s="2"/>
      <c r="M169" s="5" t="s">
        <v>977</v>
      </c>
      <c r="N169" s="5" t="s">
        <v>2090</v>
      </c>
      <c r="O169" s="5" t="s">
        <v>824</v>
      </c>
      <c r="P169" s="21" t="s">
        <v>2</v>
      </c>
      <c r="Q169" s="54" t="s">
        <v>4179</v>
      </c>
    </row>
    <row r="170" spans="2:17" x14ac:dyDescent="0.3">
      <c r="B170" s="18" t="s">
        <v>2204</v>
      </c>
      <c r="C170" s="47" t="s">
        <v>3821</v>
      </c>
      <c r="D170" s="15" t="s">
        <v>1828</v>
      </c>
      <c r="E170" s="55" t="s">
        <v>2</v>
      </c>
      <c r="F170" s="14">
        <v>44582</v>
      </c>
      <c r="G170" s="5" t="s">
        <v>1582</v>
      </c>
      <c r="H170" s="2"/>
      <c r="I170" s="4">
        <v>1848207</v>
      </c>
      <c r="J170" s="4">
        <v>1849000</v>
      </c>
      <c r="K170" s="4">
        <v>0</v>
      </c>
      <c r="L170" s="2"/>
      <c r="M170" s="5" t="s">
        <v>2</v>
      </c>
      <c r="N170" s="5" t="s">
        <v>3288</v>
      </c>
      <c r="O170" s="5" t="s">
        <v>824</v>
      </c>
      <c r="P170" s="21" t="s">
        <v>2</v>
      </c>
      <c r="Q170" s="54" t="s">
        <v>4179</v>
      </c>
    </row>
    <row r="171" spans="2:17" x14ac:dyDescent="0.3">
      <c r="B171" s="18" t="s">
        <v>3336</v>
      </c>
      <c r="C171" s="47" t="s">
        <v>3584</v>
      </c>
      <c r="D171" s="15" t="s">
        <v>1828</v>
      </c>
      <c r="E171" s="55" t="s">
        <v>2</v>
      </c>
      <c r="F171" s="14">
        <v>44582</v>
      </c>
      <c r="G171" s="5" t="s">
        <v>1582</v>
      </c>
      <c r="H171" s="2"/>
      <c r="I171" s="4">
        <v>4998733</v>
      </c>
      <c r="J171" s="4">
        <v>5000000</v>
      </c>
      <c r="K171" s="4">
        <v>0</v>
      </c>
      <c r="L171" s="2"/>
      <c r="M171" s="5" t="s">
        <v>2</v>
      </c>
      <c r="N171" s="5" t="s">
        <v>3288</v>
      </c>
      <c r="O171" s="5" t="s">
        <v>824</v>
      </c>
      <c r="P171" s="21" t="s">
        <v>2</v>
      </c>
      <c r="Q171" s="54" t="s">
        <v>4179</v>
      </c>
    </row>
    <row r="172" spans="2:17" x14ac:dyDescent="0.3">
      <c r="B172" s="18" t="s">
        <v>4477</v>
      </c>
      <c r="C172" s="47" t="s">
        <v>3526</v>
      </c>
      <c r="D172" s="15" t="s">
        <v>622</v>
      </c>
      <c r="E172" s="55" t="s">
        <v>2</v>
      </c>
      <c r="F172" s="14">
        <v>44585</v>
      </c>
      <c r="G172" s="5" t="s">
        <v>200</v>
      </c>
      <c r="H172" s="2"/>
      <c r="I172" s="4">
        <v>2917500</v>
      </c>
      <c r="J172" s="4">
        <v>3000000</v>
      </c>
      <c r="K172" s="4">
        <v>20021</v>
      </c>
      <c r="L172" s="2"/>
      <c r="M172" s="5" t="s">
        <v>980</v>
      </c>
      <c r="N172" s="5" t="s">
        <v>981</v>
      </c>
      <c r="O172" s="5" t="s">
        <v>824</v>
      </c>
      <c r="P172" s="21" t="s">
        <v>2</v>
      </c>
      <c r="Q172" s="54" t="s">
        <v>4179</v>
      </c>
    </row>
    <row r="173" spans="2:17" x14ac:dyDescent="0.3">
      <c r="B173" s="18" t="s">
        <v>1081</v>
      </c>
      <c r="C173" s="47" t="s">
        <v>2093</v>
      </c>
      <c r="D173" s="15" t="s">
        <v>1496</v>
      </c>
      <c r="E173" s="55" t="s">
        <v>1164</v>
      </c>
      <c r="F173" s="14">
        <v>44776</v>
      </c>
      <c r="G173" s="5" t="s">
        <v>2979</v>
      </c>
      <c r="H173" s="2"/>
      <c r="I173" s="4">
        <v>2021120</v>
      </c>
      <c r="J173" s="4">
        <v>2000000</v>
      </c>
      <c r="K173" s="4">
        <v>0</v>
      </c>
      <c r="L173" s="2"/>
      <c r="M173" s="5" t="s">
        <v>1283</v>
      </c>
      <c r="N173" s="5" t="s">
        <v>1766</v>
      </c>
      <c r="O173" s="5" t="s">
        <v>824</v>
      </c>
      <c r="P173" s="21" t="s">
        <v>2</v>
      </c>
      <c r="Q173" s="54" t="s">
        <v>4179</v>
      </c>
    </row>
    <row r="174" spans="2:17" x14ac:dyDescent="0.3">
      <c r="B174" s="18" t="s">
        <v>2205</v>
      </c>
      <c r="C174" s="47" t="s">
        <v>4027</v>
      </c>
      <c r="D174" s="15" t="s">
        <v>2618</v>
      </c>
      <c r="E174" s="55" t="s">
        <v>1164</v>
      </c>
      <c r="F174" s="14">
        <v>44595</v>
      </c>
      <c r="G174" s="5" t="s">
        <v>920</v>
      </c>
      <c r="H174" s="2"/>
      <c r="I174" s="4">
        <v>2938560</v>
      </c>
      <c r="J174" s="4">
        <v>3000000</v>
      </c>
      <c r="K174" s="4">
        <v>24500</v>
      </c>
      <c r="L174" s="2"/>
      <c r="M174" s="5" t="s">
        <v>2</v>
      </c>
      <c r="N174" s="5" t="s">
        <v>1497</v>
      </c>
      <c r="O174" s="5" t="s">
        <v>2884</v>
      </c>
      <c r="P174" s="21" t="s">
        <v>2</v>
      </c>
      <c r="Q174" s="54" t="s">
        <v>4179</v>
      </c>
    </row>
    <row r="175" spans="2:17" x14ac:dyDescent="0.3">
      <c r="B175" s="18" t="s">
        <v>3337</v>
      </c>
      <c r="C175" s="47" t="s">
        <v>629</v>
      </c>
      <c r="D175" s="15" t="s">
        <v>383</v>
      </c>
      <c r="E175" s="55" t="s">
        <v>1164</v>
      </c>
      <c r="F175" s="14">
        <v>44573</v>
      </c>
      <c r="G175" s="5" t="s">
        <v>2194</v>
      </c>
      <c r="H175" s="2"/>
      <c r="I175" s="4">
        <v>5000000</v>
      </c>
      <c r="J175" s="4">
        <v>5000000</v>
      </c>
      <c r="K175" s="4">
        <v>0</v>
      </c>
      <c r="L175" s="2"/>
      <c r="M175" s="5" t="s">
        <v>4029</v>
      </c>
      <c r="N175" s="5" t="s">
        <v>983</v>
      </c>
      <c r="O175" s="5" t="s">
        <v>824</v>
      </c>
      <c r="P175" s="21" t="s">
        <v>2</v>
      </c>
      <c r="Q175" s="54" t="s">
        <v>4179</v>
      </c>
    </row>
    <row r="176" spans="2:17" x14ac:dyDescent="0.3">
      <c r="B176" s="18" t="s">
        <v>4478</v>
      </c>
      <c r="C176" s="47" t="s">
        <v>4440</v>
      </c>
      <c r="D176" s="15" t="s">
        <v>694</v>
      </c>
      <c r="E176" s="55" t="s">
        <v>1164</v>
      </c>
      <c r="F176" s="14">
        <v>44852</v>
      </c>
      <c r="G176" s="5" t="s">
        <v>3338</v>
      </c>
      <c r="H176" s="2"/>
      <c r="I176" s="4">
        <v>5000000</v>
      </c>
      <c r="J176" s="4">
        <v>5000000</v>
      </c>
      <c r="K176" s="4">
        <v>0</v>
      </c>
      <c r="L176" s="2"/>
      <c r="M176" s="5" t="s">
        <v>2</v>
      </c>
      <c r="N176" s="5" t="s">
        <v>2961</v>
      </c>
      <c r="O176" s="5" t="s">
        <v>824</v>
      </c>
      <c r="P176" s="21" t="s">
        <v>2</v>
      </c>
      <c r="Q176" s="54" t="s">
        <v>4179</v>
      </c>
    </row>
    <row r="177" spans="2:17" x14ac:dyDescent="0.3">
      <c r="B177" s="18" t="s">
        <v>1082</v>
      </c>
      <c r="C177" s="47" t="s">
        <v>4441</v>
      </c>
      <c r="D177" s="15" t="s">
        <v>694</v>
      </c>
      <c r="E177" s="55" t="s">
        <v>1164</v>
      </c>
      <c r="F177" s="14">
        <v>44852</v>
      </c>
      <c r="G177" s="5" t="s">
        <v>3338</v>
      </c>
      <c r="H177" s="2"/>
      <c r="I177" s="4">
        <v>5000000</v>
      </c>
      <c r="J177" s="4">
        <v>5000000</v>
      </c>
      <c r="K177" s="4">
        <v>0</v>
      </c>
      <c r="L177" s="2"/>
      <c r="M177" s="5" t="s">
        <v>2</v>
      </c>
      <c r="N177" s="5" t="s">
        <v>2961</v>
      </c>
      <c r="O177" s="5" t="s">
        <v>824</v>
      </c>
      <c r="P177" s="21" t="s">
        <v>2</v>
      </c>
      <c r="Q177" s="54" t="s">
        <v>4179</v>
      </c>
    </row>
    <row r="178" spans="2:17" x14ac:dyDescent="0.3">
      <c r="B178" s="18" t="s">
        <v>2997</v>
      </c>
      <c r="C178" s="47" t="s">
        <v>1286</v>
      </c>
      <c r="D178" s="15" t="s">
        <v>2101</v>
      </c>
      <c r="E178" s="55" t="s">
        <v>1164</v>
      </c>
      <c r="F178" s="14">
        <v>44663</v>
      </c>
      <c r="G178" s="5" t="s">
        <v>200</v>
      </c>
      <c r="H178" s="2"/>
      <c r="I178" s="4">
        <v>4985100</v>
      </c>
      <c r="J178" s="4">
        <v>5000000</v>
      </c>
      <c r="K178" s="4">
        <v>0</v>
      </c>
      <c r="L178" s="2"/>
      <c r="M178" s="5" t="s">
        <v>2</v>
      </c>
      <c r="N178" s="5" t="s">
        <v>1777</v>
      </c>
      <c r="O178" s="5" t="s">
        <v>824</v>
      </c>
      <c r="P178" s="21" t="s">
        <v>2</v>
      </c>
      <c r="Q178" s="54" t="s">
        <v>4179</v>
      </c>
    </row>
    <row r="179" spans="2:17" x14ac:dyDescent="0.3">
      <c r="B179" s="18" t="s">
        <v>4479</v>
      </c>
      <c r="C179" s="47" t="s">
        <v>3754</v>
      </c>
      <c r="D179" s="15" t="s">
        <v>459</v>
      </c>
      <c r="E179" s="55" t="s">
        <v>2274</v>
      </c>
      <c r="F179" s="14">
        <v>44603</v>
      </c>
      <c r="G179" s="5" t="s">
        <v>1060</v>
      </c>
      <c r="H179" s="2"/>
      <c r="I179" s="4">
        <v>11430471</v>
      </c>
      <c r="J179" s="4">
        <v>11700000</v>
      </c>
      <c r="K179" s="4">
        <v>53599</v>
      </c>
      <c r="L179" s="2"/>
      <c r="M179" s="5" t="s">
        <v>2</v>
      </c>
      <c r="N179" s="5" t="s">
        <v>1778</v>
      </c>
      <c r="O179" s="5" t="s">
        <v>2</v>
      </c>
      <c r="P179" s="21" t="s">
        <v>2</v>
      </c>
      <c r="Q179" s="54" t="s">
        <v>4179</v>
      </c>
    </row>
    <row r="180" spans="2:17" x14ac:dyDescent="0.3">
      <c r="B180" s="18" t="s">
        <v>1083</v>
      </c>
      <c r="C180" s="47" t="s">
        <v>3756</v>
      </c>
      <c r="D180" s="15" t="s">
        <v>1084</v>
      </c>
      <c r="E180" s="55" t="s">
        <v>1164</v>
      </c>
      <c r="F180" s="14">
        <v>44727</v>
      </c>
      <c r="G180" s="5" t="s">
        <v>3853</v>
      </c>
      <c r="H180" s="2"/>
      <c r="I180" s="4">
        <v>12000000</v>
      </c>
      <c r="J180" s="4">
        <v>12000000</v>
      </c>
      <c r="K180" s="4">
        <v>0</v>
      </c>
      <c r="L180" s="2"/>
      <c r="M180" s="5" t="s">
        <v>1779</v>
      </c>
      <c r="N180" s="5" t="s">
        <v>2103</v>
      </c>
      <c r="O180" s="5" t="s">
        <v>2</v>
      </c>
      <c r="P180" s="21" t="s">
        <v>2</v>
      </c>
      <c r="Q180" s="54" t="s">
        <v>4179</v>
      </c>
    </row>
    <row r="181" spans="2:17" x14ac:dyDescent="0.3">
      <c r="B181" s="18" t="s">
        <v>2206</v>
      </c>
      <c r="C181" s="47" t="s">
        <v>2105</v>
      </c>
      <c r="D181" s="15" t="s">
        <v>2696</v>
      </c>
      <c r="E181" s="55" t="s">
        <v>1164</v>
      </c>
      <c r="F181" s="14">
        <v>44804</v>
      </c>
      <c r="G181" s="5" t="s">
        <v>200</v>
      </c>
      <c r="H181" s="2"/>
      <c r="I181" s="4">
        <v>3000000</v>
      </c>
      <c r="J181" s="4">
        <v>3000000</v>
      </c>
      <c r="K181" s="4">
        <v>0</v>
      </c>
      <c r="L181" s="2"/>
      <c r="M181" s="5" t="s">
        <v>637</v>
      </c>
      <c r="N181" s="5" t="s">
        <v>2106</v>
      </c>
      <c r="O181" s="5" t="s">
        <v>2</v>
      </c>
      <c r="P181" s="21" t="s">
        <v>2</v>
      </c>
      <c r="Q181" s="54" t="s">
        <v>4179</v>
      </c>
    </row>
    <row r="182" spans="2:17" x14ac:dyDescent="0.3">
      <c r="B182" s="18" t="s">
        <v>3339</v>
      </c>
      <c r="C182" s="47" t="s">
        <v>2107</v>
      </c>
      <c r="D182" s="15" t="s">
        <v>2484</v>
      </c>
      <c r="E182" s="55" t="s">
        <v>1164</v>
      </c>
      <c r="F182" s="14">
        <v>44804</v>
      </c>
      <c r="G182" s="5" t="s">
        <v>200</v>
      </c>
      <c r="H182" s="2"/>
      <c r="I182" s="4">
        <v>5000000</v>
      </c>
      <c r="J182" s="4">
        <v>5000000</v>
      </c>
      <c r="K182" s="4">
        <v>0</v>
      </c>
      <c r="L182" s="2"/>
      <c r="M182" s="5" t="s">
        <v>637</v>
      </c>
      <c r="N182" s="5" t="s">
        <v>2106</v>
      </c>
      <c r="O182" s="5" t="s">
        <v>2</v>
      </c>
      <c r="P182" s="21" t="s">
        <v>2</v>
      </c>
      <c r="Q182" s="54" t="s">
        <v>4179</v>
      </c>
    </row>
    <row r="183" spans="2:17" x14ac:dyDescent="0.3">
      <c r="B183" s="18" t="s">
        <v>4480</v>
      </c>
      <c r="C183" s="47" t="s">
        <v>4104</v>
      </c>
      <c r="D183" s="15" t="s">
        <v>2460</v>
      </c>
      <c r="E183" s="55" t="s">
        <v>1164</v>
      </c>
      <c r="F183" s="14">
        <v>44834</v>
      </c>
      <c r="G183" s="5" t="s">
        <v>208</v>
      </c>
      <c r="H183" s="2"/>
      <c r="I183" s="4">
        <v>4987500</v>
      </c>
      <c r="J183" s="4">
        <v>5000000</v>
      </c>
      <c r="K183" s="4">
        <v>0</v>
      </c>
      <c r="L183" s="2"/>
      <c r="M183" s="5" t="s">
        <v>2</v>
      </c>
      <c r="N183" s="5" t="s">
        <v>3589</v>
      </c>
      <c r="O183" s="5" t="s">
        <v>824</v>
      </c>
      <c r="P183" s="21" t="s">
        <v>2</v>
      </c>
      <c r="Q183" s="54" t="s">
        <v>4179</v>
      </c>
    </row>
    <row r="184" spans="2:17" x14ac:dyDescent="0.3">
      <c r="B184" s="18" t="s">
        <v>1085</v>
      </c>
      <c r="C184" s="47" t="s">
        <v>3827</v>
      </c>
      <c r="D184" s="15" t="s">
        <v>2460</v>
      </c>
      <c r="E184" s="55" t="s">
        <v>1164</v>
      </c>
      <c r="F184" s="14">
        <v>44834</v>
      </c>
      <c r="G184" s="5" t="s">
        <v>208</v>
      </c>
      <c r="H184" s="2"/>
      <c r="I184" s="4">
        <v>5000000</v>
      </c>
      <c r="J184" s="4">
        <v>5000000</v>
      </c>
      <c r="K184" s="4">
        <v>0</v>
      </c>
      <c r="L184" s="2"/>
      <c r="M184" s="5" t="s">
        <v>2</v>
      </c>
      <c r="N184" s="5" t="s">
        <v>3589</v>
      </c>
      <c r="O184" s="5" t="s">
        <v>824</v>
      </c>
      <c r="P184" s="21" t="s">
        <v>2</v>
      </c>
      <c r="Q184" s="54" t="s">
        <v>4179</v>
      </c>
    </row>
    <row r="185" spans="2:17" x14ac:dyDescent="0.3">
      <c r="B185" s="18" t="s">
        <v>2207</v>
      </c>
      <c r="C185" s="47" t="s">
        <v>3540</v>
      </c>
      <c r="D185" s="15" t="s">
        <v>4036</v>
      </c>
      <c r="E185" s="55" t="s">
        <v>1164</v>
      </c>
      <c r="F185" s="14">
        <v>44755</v>
      </c>
      <c r="G185" s="5" t="s">
        <v>4481</v>
      </c>
      <c r="H185" s="2"/>
      <c r="I185" s="4">
        <v>11993050</v>
      </c>
      <c r="J185" s="4">
        <v>12000000</v>
      </c>
      <c r="K185" s="4">
        <v>0</v>
      </c>
      <c r="L185" s="2"/>
      <c r="M185" s="5" t="s">
        <v>2</v>
      </c>
      <c r="N185" s="5" t="s">
        <v>2110</v>
      </c>
      <c r="O185" s="5" t="s">
        <v>2110</v>
      </c>
      <c r="P185" s="21" t="s">
        <v>2</v>
      </c>
      <c r="Q185" s="54" t="s">
        <v>4179</v>
      </c>
    </row>
    <row r="186" spans="2:17" x14ac:dyDescent="0.3">
      <c r="B186" s="18" t="s">
        <v>3340</v>
      </c>
      <c r="C186" s="47" t="s">
        <v>145</v>
      </c>
      <c r="D186" s="15" t="s">
        <v>4036</v>
      </c>
      <c r="E186" s="55" t="s">
        <v>1164</v>
      </c>
      <c r="F186" s="14">
        <v>44810</v>
      </c>
      <c r="G186" s="5" t="s">
        <v>4481</v>
      </c>
      <c r="H186" s="2"/>
      <c r="I186" s="4">
        <v>5000000</v>
      </c>
      <c r="J186" s="4">
        <v>5000000</v>
      </c>
      <c r="K186" s="4">
        <v>0</v>
      </c>
      <c r="L186" s="2"/>
      <c r="M186" s="5" t="s">
        <v>2</v>
      </c>
      <c r="N186" s="5" t="s">
        <v>2110</v>
      </c>
      <c r="O186" s="5" t="s">
        <v>2110</v>
      </c>
      <c r="P186" s="21" t="s">
        <v>2</v>
      </c>
      <c r="Q186" s="54" t="s">
        <v>4179</v>
      </c>
    </row>
    <row r="187" spans="2:17" x14ac:dyDescent="0.3">
      <c r="B187" s="18" t="s">
        <v>4482</v>
      </c>
      <c r="C187" s="47" t="s">
        <v>1504</v>
      </c>
      <c r="D187" s="15" t="s">
        <v>2627</v>
      </c>
      <c r="E187" s="55" t="s">
        <v>1164</v>
      </c>
      <c r="F187" s="14">
        <v>44811</v>
      </c>
      <c r="G187" s="5" t="s">
        <v>3310</v>
      </c>
      <c r="H187" s="2"/>
      <c r="I187" s="4">
        <v>5000000</v>
      </c>
      <c r="J187" s="4">
        <v>5000000</v>
      </c>
      <c r="K187" s="4">
        <v>0</v>
      </c>
      <c r="L187" s="2"/>
      <c r="M187" s="5" t="s">
        <v>2</v>
      </c>
      <c r="N187" s="5" t="s">
        <v>2627</v>
      </c>
      <c r="O187" s="5" t="s">
        <v>2</v>
      </c>
      <c r="P187" s="21" t="s">
        <v>2</v>
      </c>
      <c r="Q187" s="54" t="s">
        <v>4179</v>
      </c>
    </row>
    <row r="188" spans="2:17" x14ac:dyDescent="0.3">
      <c r="B188" s="18" t="s">
        <v>2208</v>
      </c>
      <c r="C188" s="47" t="s">
        <v>2628</v>
      </c>
      <c r="D188" s="15" t="s">
        <v>4379</v>
      </c>
      <c r="E188" s="55" t="s">
        <v>1164</v>
      </c>
      <c r="F188" s="14">
        <v>44700</v>
      </c>
      <c r="G188" s="5" t="s">
        <v>4453</v>
      </c>
      <c r="H188" s="2"/>
      <c r="I188" s="4">
        <v>5041114</v>
      </c>
      <c r="J188" s="4">
        <v>5000000</v>
      </c>
      <c r="K188" s="4">
        <v>52813</v>
      </c>
      <c r="L188" s="2"/>
      <c r="M188" s="5" t="s">
        <v>2</v>
      </c>
      <c r="N188" s="5" t="s">
        <v>1782</v>
      </c>
      <c r="O188" s="5" t="s">
        <v>2112</v>
      </c>
      <c r="P188" s="21" t="s">
        <v>2</v>
      </c>
      <c r="Q188" s="54" t="s">
        <v>4179</v>
      </c>
    </row>
    <row r="189" spans="2:17" x14ac:dyDescent="0.3">
      <c r="B189" s="18" t="s">
        <v>3341</v>
      </c>
      <c r="C189" s="47" t="s">
        <v>4381</v>
      </c>
      <c r="D189" s="15" t="s">
        <v>2900</v>
      </c>
      <c r="E189" s="55" t="s">
        <v>1164</v>
      </c>
      <c r="F189" s="14">
        <v>44700</v>
      </c>
      <c r="G189" s="5" t="s">
        <v>4453</v>
      </c>
      <c r="H189" s="2"/>
      <c r="I189" s="4">
        <v>3087860</v>
      </c>
      <c r="J189" s="4">
        <v>3000000</v>
      </c>
      <c r="K189" s="4">
        <v>4725</v>
      </c>
      <c r="L189" s="2"/>
      <c r="M189" s="5" t="s">
        <v>2</v>
      </c>
      <c r="N189" s="5" t="s">
        <v>2900</v>
      </c>
      <c r="O189" s="5" t="s">
        <v>2</v>
      </c>
      <c r="P189" s="21" t="s">
        <v>2</v>
      </c>
      <c r="Q189" s="54" t="s">
        <v>4179</v>
      </c>
    </row>
    <row r="190" spans="2:17" x14ac:dyDescent="0.3">
      <c r="B190" s="18" t="s">
        <v>4483</v>
      </c>
      <c r="C190" s="47" t="s">
        <v>3244</v>
      </c>
      <c r="D190" s="15" t="s">
        <v>2900</v>
      </c>
      <c r="E190" s="55" t="s">
        <v>1164</v>
      </c>
      <c r="F190" s="14">
        <v>44700</v>
      </c>
      <c r="G190" s="5" t="s">
        <v>4453</v>
      </c>
      <c r="H190" s="2"/>
      <c r="I190" s="4">
        <v>4499003</v>
      </c>
      <c r="J190" s="4">
        <v>4500000</v>
      </c>
      <c r="K190" s="4">
        <v>73141</v>
      </c>
      <c r="L190" s="2"/>
      <c r="M190" s="5" t="s">
        <v>2</v>
      </c>
      <c r="N190" s="5" t="s">
        <v>2900</v>
      </c>
      <c r="O190" s="5" t="s">
        <v>2</v>
      </c>
      <c r="P190" s="21" t="s">
        <v>2</v>
      </c>
      <c r="Q190" s="54" t="s">
        <v>4179</v>
      </c>
    </row>
    <row r="191" spans="2:17" x14ac:dyDescent="0.3">
      <c r="B191" s="18" t="s">
        <v>1086</v>
      </c>
      <c r="C191" s="47" t="s">
        <v>2901</v>
      </c>
      <c r="D191" s="15" t="s">
        <v>2629</v>
      </c>
      <c r="E191" s="55" t="s">
        <v>1164</v>
      </c>
      <c r="F191" s="9">
        <v>44693</v>
      </c>
      <c r="G191" s="5" t="s">
        <v>1349</v>
      </c>
      <c r="H191" s="2"/>
      <c r="I191" s="4">
        <v>4892454</v>
      </c>
      <c r="J191" s="4">
        <v>4900000</v>
      </c>
      <c r="K191" s="4">
        <v>0</v>
      </c>
      <c r="L191" s="2"/>
      <c r="M191" s="5" t="s">
        <v>2</v>
      </c>
      <c r="N191" s="5" t="s">
        <v>2900</v>
      </c>
      <c r="O191" s="5" t="s">
        <v>2630</v>
      </c>
      <c r="P191" s="21" t="s">
        <v>2</v>
      </c>
      <c r="Q191" s="54" t="s">
        <v>4179</v>
      </c>
    </row>
    <row r="192" spans="2:17" x14ac:dyDescent="0.3">
      <c r="B192" s="18" t="s">
        <v>2209</v>
      </c>
      <c r="C192" s="47" t="s">
        <v>1505</v>
      </c>
      <c r="D192" s="15" t="s">
        <v>4382</v>
      </c>
      <c r="E192" s="55" t="s">
        <v>1164</v>
      </c>
      <c r="F192" s="9">
        <v>44726</v>
      </c>
      <c r="G192" s="5" t="s">
        <v>4481</v>
      </c>
      <c r="H192" s="2"/>
      <c r="I192" s="4">
        <v>4858300</v>
      </c>
      <c r="J192" s="4">
        <v>5000000</v>
      </c>
      <c r="K192" s="4">
        <v>3797</v>
      </c>
      <c r="L192" s="2"/>
      <c r="M192" s="5" t="s">
        <v>2</v>
      </c>
      <c r="N192" s="5" t="s">
        <v>146</v>
      </c>
      <c r="O192" s="5" t="s">
        <v>386</v>
      </c>
      <c r="P192" s="21" t="s">
        <v>2</v>
      </c>
      <c r="Q192" s="54" t="s">
        <v>4179</v>
      </c>
    </row>
    <row r="193" spans="2:17" x14ac:dyDescent="0.3">
      <c r="B193" s="18" t="s">
        <v>3342</v>
      </c>
      <c r="C193" s="47" t="s">
        <v>4038</v>
      </c>
      <c r="D193" s="15" t="s">
        <v>147</v>
      </c>
      <c r="E193" s="55" t="s">
        <v>1164</v>
      </c>
      <c r="F193" s="9">
        <v>44819</v>
      </c>
      <c r="G193" s="5" t="s">
        <v>4454</v>
      </c>
      <c r="H193" s="2"/>
      <c r="I193" s="4">
        <v>4996750</v>
      </c>
      <c r="J193" s="4">
        <v>5000000</v>
      </c>
      <c r="K193" s="4">
        <v>0</v>
      </c>
      <c r="L193" s="2"/>
      <c r="M193" s="5" t="s">
        <v>387</v>
      </c>
      <c r="N193" s="5" t="s">
        <v>3758</v>
      </c>
      <c r="O193" s="5" t="s">
        <v>824</v>
      </c>
      <c r="P193" s="21" t="s">
        <v>2</v>
      </c>
      <c r="Q193" s="54" t="s">
        <v>4179</v>
      </c>
    </row>
    <row r="194" spans="2:17" x14ac:dyDescent="0.3">
      <c r="B194" s="18" t="s">
        <v>4484</v>
      </c>
      <c r="C194" s="47" t="s">
        <v>148</v>
      </c>
      <c r="D194" s="15" t="s">
        <v>1087</v>
      </c>
      <c r="E194" s="55" t="s">
        <v>1164</v>
      </c>
      <c r="F194" s="9">
        <v>44798</v>
      </c>
      <c r="G194" s="5" t="s">
        <v>1058</v>
      </c>
      <c r="H194" s="2"/>
      <c r="I194" s="4">
        <v>4799140</v>
      </c>
      <c r="J194" s="4">
        <v>6000000</v>
      </c>
      <c r="K194" s="4">
        <v>40792</v>
      </c>
      <c r="L194" s="2"/>
      <c r="M194" s="5" t="s">
        <v>2631</v>
      </c>
      <c r="N194" s="5" t="s">
        <v>640</v>
      </c>
      <c r="O194" s="5" t="s">
        <v>2</v>
      </c>
      <c r="P194" s="21" t="s">
        <v>2</v>
      </c>
      <c r="Q194" s="54" t="s">
        <v>4179</v>
      </c>
    </row>
    <row r="195" spans="2:17" x14ac:dyDescent="0.3">
      <c r="B195" s="18" t="s">
        <v>1088</v>
      </c>
      <c r="C195" s="47" t="s">
        <v>644</v>
      </c>
      <c r="D195" s="15" t="s">
        <v>642</v>
      </c>
      <c r="E195" s="55" t="s">
        <v>1164</v>
      </c>
      <c r="F195" s="9">
        <v>44572</v>
      </c>
      <c r="G195" s="5" t="s">
        <v>3603</v>
      </c>
      <c r="H195" s="2"/>
      <c r="I195" s="4">
        <v>5000000</v>
      </c>
      <c r="J195" s="4">
        <v>5000000</v>
      </c>
      <c r="K195" s="4">
        <v>0</v>
      </c>
      <c r="L195" s="2"/>
      <c r="M195" s="5" t="s">
        <v>1784</v>
      </c>
      <c r="N195" s="5" t="s">
        <v>643</v>
      </c>
      <c r="O195" s="5" t="s">
        <v>824</v>
      </c>
      <c r="P195" s="21" t="s">
        <v>2</v>
      </c>
      <c r="Q195" s="54" t="s">
        <v>4179</v>
      </c>
    </row>
    <row r="196" spans="2:17" x14ac:dyDescent="0.3">
      <c r="B196" s="18" t="s">
        <v>2485</v>
      </c>
      <c r="C196" s="47" t="s">
        <v>1291</v>
      </c>
      <c r="D196" s="15" t="s">
        <v>1292</v>
      </c>
      <c r="E196" s="55" t="s">
        <v>1164</v>
      </c>
      <c r="F196" s="9">
        <v>44566</v>
      </c>
      <c r="G196" s="5" t="s">
        <v>1581</v>
      </c>
      <c r="H196" s="2"/>
      <c r="I196" s="4">
        <v>5000000</v>
      </c>
      <c r="J196" s="4">
        <v>5000000</v>
      </c>
      <c r="K196" s="4">
        <v>0</v>
      </c>
      <c r="L196" s="2"/>
      <c r="M196" s="5" t="s">
        <v>999</v>
      </c>
      <c r="N196" s="5" t="s">
        <v>2122</v>
      </c>
      <c r="O196" s="5" t="s">
        <v>824</v>
      </c>
      <c r="P196" s="21" t="s">
        <v>2</v>
      </c>
      <c r="Q196" s="54" t="s">
        <v>4179</v>
      </c>
    </row>
    <row r="197" spans="2:17" x14ac:dyDescent="0.3">
      <c r="B197" s="18" t="s">
        <v>3608</v>
      </c>
      <c r="C197" s="47" t="s">
        <v>1293</v>
      </c>
      <c r="D197" s="15" t="s">
        <v>1507</v>
      </c>
      <c r="E197" s="55" t="s">
        <v>1164</v>
      </c>
      <c r="F197" s="9">
        <v>44566</v>
      </c>
      <c r="G197" s="5" t="s">
        <v>3343</v>
      </c>
      <c r="H197" s="2"/>
      <c r="I197" s="4">
        <v>2000000</v>
      </c>
      <c r="J197" s="4">
        <v>2000000</v>
      </c>
      <c r="K197" s="4">
        <v>0</v>
      </c>
      <c r="L197" s="2"/>
      <c r="M197" s="5" t="s">
        <v>2</v>
      </c>
      <c r="N197" s="5" t="s">
        <v>3545</v>
      </c>
      <c r="O197" s="5" t="s">
        <v>3761</v>
      </c>
      <c r="P197" s="21" t="s">
        <v>2</v>
      </c>
      <c r="Q197" s="54" t="s">
        <v>4179</v>
      </c>
    </row>
    <row r="198" spans="2:17" x14ac:dyDescent="0.3">
      <c r="B198" s="18" t="s">
        <v>1089</v>
      </c>
      <c r="C198" s="47" t="s">
        <v>1509</v>
      </c>
      <c r="D198" s="15" t="s">
        <v>3546</v>
      </c>
      <c r="E198" s="55" t="s">
        <v>1164</v>
      </c>
      <c r="F198" s="9">
        <v>44565</v>
      </c>
      <c r="G198" s="5" t="s">
        <v>2481</v>
      </c>
      <c r="H198" s="2"/>
      <c r="I198" s="4">
        <v>5000000</v>
      </c>
      <c r="J198" s="4">
        <v>5000000</v>
      </c>
      <c r="K198" s="4">
        <v>0</v>
      </c>
      <c r="L198" s="2"/>
      <c r="M198" s="5" t="s">
        <v>2420</v>
      </c>
      <c r="N198" s="5" t="s">
        <v>2125</v>
      </c>
      <c r="O198" s="5" t="s">
        <v>824</v>
      </c>
      <c r="P198" s="21" t="s">
        <v>2</v>
      </c>
      <c r="Q198" s="54" t="s">
        <v>4179</v>
      </c>
    </row>
    <row r="199" spans="2:17" x14ac:dyDescent="0.3">
      <c r="B199" s="18" t="s">
        <v>2210</v>
      </c>
      <c r="C199" s="47" t="s">
        <v>2634</v>
      </c>
      <c r="D199" s="15" t="s">
        <v>3546</v>
      </c>
      <c r="E199" s="55" t="s">
        <v>1164</v>
      </c>
      <c r="F199" s="9">
        <v>44684</v>
      </c>
      <c r="G199" s="5" t="s">
        <v>2481</v>
      </c>
      <c r="H199" s="2"/>
      <c r="I199" s="4">
        <v>4350000</v>
      </c>
      <c r="J199" s="4">
        <v>4350000</v>
      </c>
      <c r="K199" s="4">
        <v>0</v>
      </c>
      <c r="L199" s="2"/>
      <c r="M199" s="5" t="s">
        <v>2420</v>
      </c>
      <c r="N199" s="5" t="s">
        <v>2125</v>
      </c>
      <c r="O199" s="5" t="s">
        <v>824</v>
      </c>
      <c r="P199" s="21" t="s">
        <v>2</v>
      </c>
      <c r="Q199" s="54" t="s">
        <v>4179</v>
      </c>
    </row>
    <row r="200" spans="2:17" x14ac:dyDescent="0.3">
      <c r="B200" s="18" t="s">
        <v>3344</v>
      </c>
      <c r="C200" s="47" t="s">
        <v>2635</v>
      </c>
      <c r="D200" s="15" t="s">
        <v>723</v>
      </c>
      <c r="E200" s="55" t="s">
        <v>1164</v>
      </c>
      <c r="F200" s="9">
        <v>44699</v>
      </c>
      <c r="G200" s="5" t="s">
        <v>200</v>
      </c>
      <c r="H200" s="2"/>
      <c r="I200" s="4">
        <v>5000000</v>
      </c>
      <c r="J200" s="4">
        <v>5000000</v>
      </c>
      <c r="K200" s="4">
        <v>0</v>
      </c>
      <c r="L200" s="2"/>
      <c r="M200" s="5" t="s">
        <v>1296</v>
      </c>
      <c r="N200" s="5" t="s">
        <v>646</v>
      </c>
      <c r="O200" s="5" t="s">
        <v>2</v>
      </c>
      <c r="P200" s="21" t="s">
        <v>2</v>
      </c>
      <c r="Q200" s="54" t="s">
        <v>4179</v>
      </c>
    </row>
    <row r="201" spans="2:17" x14ac:dyDescent="0.3">
      <c r="B201" s="18" t="s">
        <v>4485</v>
      </c>
      <c r="C201" s="47" t="s">
        <v>3765</v>
      </c>
      <c r="D201" s="15" t="s">
        <v>1586</v>
      </c>
      <c r="E201" s="55" t="s">
        <v>1164</v>
      </c>
      <c r="F201" s="9">
        <v>44776</v>
      </c>
      <c r="G201" s="5" t="s">
        <v>1349</v>
      </c>
      <c r="H201" s="2"/>
      <c r="I201" s="4">
        <v>3000000</v>
      </c>
      <c r="J201" s="4">
        <v>3000000</v>
      </c>
      <c r="K201" s="4">
        <v>0</v>
      </c>
      <c r="L201" s="2"/>
      <c r="M201" s="5" t="s">
        <v>1296</v>
      </c>
      <c r="N201" s="5" t="s">
        <v>646</v>
      </c>
      <c r="O201" s="5" t="s">
        <v>2</v>
      </c>
      <c r="P201" s="21" t="s">
        <v>2</v>
      </c>
      <c r="Q201" s="54" t="s">
        <v>4179</v>
      </c>
    </row>
    <row r="202" spans="2:17" x14ac:dyDescent="0.3">
      <c r="B202" s="18" t="s">
        <v>1090</v>
      </c>
      <c r="C202" s="47" t="s">
        <v>2906</v>
      </c>
      <c r="D202" s="15" t="s">
        <v>724</v>
      </c>
      <c r="E202" s="55" t="s">
        <v>1164</v>
      </c>
      <c r="F202" s="9">
        <v>44715</v>
      </c>
      <c r="G202" s="5" t="s">
        <v>1357</v>
      </c>
      <c r="H202" s="2"/>
      <c r="I202" s="4">
        <v>3009300</v>
      </c>
      <c r="J202" s="4">
        <v>3000000</v>
      </c>
      <c r="K202" s="4">
        <v>8683</v>
      </c>
      <c r="L202" s="2"/>
      <c r="M202" s="5" t="s">
        <v>2</v>
      </c>
      <c r="N202" s="5" t="s">
        <v>1300</v>
      </c>
      <c r="O202" s="5" t="s">
        <v>2</v>
      </c>
      <c r="P202" s="21" t="s">
        <v>2</v>
      </c>
      <c r="Q202" s="54" t="s">
        <v>4179</v>
      </c>
    </row>
    <row r="203" spans="2:17" x14ac:dyDescent="0.3">
      <c r="B203" s="18" t="s">
        <v>2211</v>
      </c>
      <c r="C203" s="47" t="s">
        <v>1006</v>
      </c>
      <c r="D203" s="15" t="s">
        <v>4042</v>
      </c>
      <c r="E203" s="55" t="s">
        <v>1164</v>
      </c>
      <c r="F203" s="9">
        <v>44867</v>
      </c>
      <c r="G203" s="5" t="s">
        <v>1350</v>
      </c>
      <c r="H203" s="2"/>
      <c r="I203" s="4">
        <v>3677739</v>
      </c>
      <c r="J203" s="4">
        <v>3900000</v>
      </c>
      <c r="K203" s="4">
        <v>21271</v>
      </c>
      <c r="L203" s="2"/>
      <c r="M203" s="5" t="s">
        <v>3768</v>
      </c>
      <c r="N203" s="5" t="s">
        <v>2424</v>
      </c>
      <c r="O203" s="5" t="s">
        <v>3554</v>
      </c>
      <c r="P203" s="21" t="s">
        <v>2</v>
      </c>
      <c r="Q203" s="54" t="s">
        <v>4179</v>
      </c>
    </row>
    <row r="204" spans="2:17" x14ac:dyDescent="0.3">
      <c r="B204" s="18" t="s">
        <v>3345</v>
      </c>
      <c r="C204" s="47" t="s">
        <v>1302</v>
      </c>
      <c r="D204" s="15" t="s">
        <v>3346</v>
      </c>
      <c r="E204" s="55" t="s">
        <v>1164</v>
      </c>
      <c r="F204" s="9">
        <v>44573</v>
      </c>
      <c r="G204" s="5" t="s">
        <v>3609</v>
      </c>
      <c r="H204" s="2"/>
      <c r="I204" s="4">
        <v>3000000</v>
      </c>
      <c r="J204" s="4">
        <v>3000000</v>
      </c>
      <c r="K204" s="4">
        <v>0</v>
      </c>
      <c r="L204" s="2"/>
      <c r="M204" s="5" t="s">
        <v>392</v>
      </c>
      <c r="N204" s="5" t="s">
        <v>1303</v>
      </c>
      <c r="O204" s="5" t="s">
        <v>2</v>
      </c>
      <c r="P204" s="21" t="s">
        <v>2</v>
      </c>
      <c r="Q204" s="54" t="s">
        <v>4179</v>
      </c>
    </row>
    <row r="205" spans="2:17" x14ac:dyDescent="0.3">
      <c r="B205" s="18" t="s">
        <v>211</v>
      </c>
      <c r="C205" s="47" t="s">
        <v>4043</v>
      </c>
      <c r="D205" s="15" t="s">
        <v>1304</v>
      </c>
      <c r="E205" s="55" t="s">
        <v>1164</v>
      </c>
      <c r="F205" s="9">
        <v>44606</v>
      </c>
      <c r="G205" s="5" t="s">
        <v>2981</v>
      </c>
      <c r="H205" s="2"/>
      <c r="I205" s="4">
        <v>4000000</v>
      </c>
      <c r="J205" s="4">
        <v>4000000</v>
      </c>
      <c r="K205" s="4">
        <v>0</v>
      </c>
      <c r="L205" s="2"/>
      <c r="M205" s="5" t="s">
        <v>2</v>
      </c>
      <c r="N205" s="5" t="s">
        <v>1304</v>
      </c>
      <c r="O205" s="5" t="s">
        <v>2</v>
      </c>
      <c r="P205" s="21" t="s">
        <v>2</v>
      </c>
      <c r="Q205" s="54" t="s">
        <v>4179</v>
      </c>
    </row>
    <row r="206" spans="2:17" x14ac:dyDescent="0.3">
      <c r="B206" s="18" t="s">
        <v>1358</v>
      </c>
      <c r="C206" s="47" t="s">
        <v>2427</v>
      </c>
      <c r="D206" s="15" t="s">
        <v>395</v>
      </c>
      <c r="E206" s="55" t="s">
        <v>1164</v>
      </c>
      <c r="F206" s="9">
        <v>44635</v>
      </c>
      <c r="G206" s="5" t="s">
        <v>4481</v>
      </c>
      <c r="H206" s="2"/>
      <c r="I206" s="4">
        <v>10000000</v>
      </c>
      <c r="J206" s="4">
        <v>10000000</v>
      </c>
      <c r="K206" s="4">
        <v>0</v>
      </c>
      <c r="L206" s="2"/>
      <c r="M206" s="5" t="s">
        <v>3260</v>
      </c>
      <c r="N206" s="5" t="s">
        <v>158</v>
      </c>
      <c r="O206" s="5" t="s">
        <v>3261</v>
      </c>
      <c r="P206" s="21" t="s">
        <v>2</v>
      </c>
      <c r="Q206" s="54" t="s">
        <v>4179</v>
      </c>
    </row>
    <row r="207" spans="2:17" x14ac:dyDescent="0.3">
      <c r="B207" s="7" t="s">
        <v>2744</v>
      </c>
      <c r="C207" s="1" t="s">
        <v>2744</v>
      </c>
      <c r="D207" s="8" t="s">
        <v>2744</v>
      </c>
      <c r="E207" s="1" t="s">
        <v>2744</v>
      </c>
      <c r="F207" s="1" t="s">
        <v>2744</v>
      </c>
      <c r="G207" s="1" t="s">
        <v>2744</v>
      </c>
      <c r="H207" s="1" t="s">
        <v>2744</v>
      </c>
      <c r="I207" s="1" t="s">
        <v>2744</v>
      </c>
      <c r="J207" s="1" t="s">
        <v>2744</v>
      </c>
      <c r="K207" s="1" t="s">
        <v>2744</v>
      </c>
      <c r="L207" s="1" t="s">
        <v>2744</v>
      </c>
      <c r="M207" s="1" t="s">
        <v>2744</v>
      </c>
      <c r="N207" s="1" t="s">
        <v>2744</v>
      </c>
      <c r="O207" s="1" t="s">
        <v>2744</v>
      </c>
      <c r="P207" s="1" t="s">
        <v>2744</v>
      </c>
      <c r="Q207" s="1" t="s">
        <v>2744</v>
      </c>
    </row>
    <row r="208" spans="2:17" ht="42" x14ac:dyDescent="0.3">
      <c r="B208" s="19" t="s">
        <v>2684</v>
      </c>
      <c r="C208" s="17" t="s">
        <v>460</v>
      </c>
      <c r="D208" s="16"/>
      <c r="E208" s="2"/>
      <c r="F208" s="2"/>
      <c r="G208" s="2"/>
      <c r="H208" s="2"/>
      <c r="I208" s="3">
        <f>SUM(GMIC_22A_SCDPT3!SCDPT3_110BEGINNG_7:GMIC_22A_SCDPT3!SCDPT3_110ENDINGG_7)</f>
        <v>970705983</v>
      </c>
      <c r="J208" s="3">
        <f>SUM(GMIC_22A_SCDPT3!SCDPT3_110BEGINNG_8:GMIC_22A_SCDPT3!SCDPT3_110ENDINGG_8)</f>
        <v>982286227</v>
      </c>
      <c r="K208" s="3">
        <f>SUM(GMIC_22A_SCDPT3!SCDPT3_110BEGINNG_9:GMIC_22A_SCDPT3!SCDPT3_110ENDINGG_9)</f>
        <v>1467731</v>
      </c>
      <c r="L208" s="2"/>
      <c r="M208" s="2"/>
      <c r="N208" s="2"/>
      <c r="O208" s="2"/>
      <c r="P208" s="2"/>
      <c r="Q208" s="2"/>
    </row>
    <row r="209" spans="2:17" x14ac:dyDescent="0.3">
      <c r="B209" s="7" t="s">
        <v>2744</v>
      </c>
      <c r="C209" s="1" t="s">
        <v>2744</v>
      </c>
      <c r="D209" s="8" t="s">
        <v>2744</v>
      </c>
      <c r="E209" s="1" t="s">
        <v>2744</v>
      </c>
      <c r="F209" s="1" t="s">
        <v>2744</v>
      </c>
      <c r="G209" s="1" t="s">
        <v>2744</v>
      </c>
      <c r="H209" s="1" t="s">
        <v>2744</v>
      </c>
      <c r="I209" s="1" t="s">
        <v>2744</v>
      </c>
      <c r="J209" s="1" t="s">
        <v>2744</v>
      </c>
      <c r="K209" s="1" t="s">
        <v>2744</v>
      </c>
      <c r="L209" s="1" t="s">
        <v>2744</v>
      </c>
      <c r="M209" s="1" t="s">
        <v>2744</v>
      </c>
      <c r="N209" s="1" t="s">
        <v>2744</v>
      </c>
      <c r="O209" s="1" t="s">
        <v>2744</v>
      </c>
      <c r="P209" s="1" t="s">
        <v>2744</v>
      </c>
      <c r="Q209" s="1" t="s">
        <v>2744</v>
      </c>
    </row>
    <row r="210" spans="2:17" x14ac:dyDescent="0.3">
      <c r="B210" s="18" t="s">
        <v>2486</v>
      </c>
      <c r="C210" s="25" t="s">
        <v>3897</v>
      </c>
      <c r="D210" s="15" t="s">
        <v>2</v>
      </c>
      <c r="E210" s="20" t="s">
        <v>2</v>
      </c>
      <c r="F210" s="6"/>
      <c r="G210" s="5" t="s">
        <v>2</v>
      </c>
      <c r="H210" s="2"/>
      <c r="I210" s="4"/>
      <c r="J210" s="4"/>
      <c r="K210" s="4"/>
      <c r="L210" s="2"/>
      <c r="M210" s="5" t="s">
        <v>2</v>
      </c>
      <c r="N210" s="5" t="s">
        <v>2</v>
      </c>
      <c r="O210" s="5" t="s">
        <v>2</v>
      </c>
      <c r="P210" s="21" t="s">
        <v>2</v>
      </c>
      <c r="Q210" s="26" t="s">
        <v>2</v>
      </c>
    </row>
    <row r="211" spans="2:17" x14ac:dyDescent="0.3">
      <c r="B211" s="7" t="s">
        <v>2744</v>
      </c>
      <c r="C211" s="1" t="s">
        <v>2744</v>
      </c>
      <c r="D211" s="8" t="s">
        <v>2744</v>
      </c>
      <c r="E211" s="1" t="s">
        <v>2744</v>
      </c>
      <c r="F211" s="1" t="s">
        <v>2744</v>
      </c>
      <c r="G211" s="1" t="s">
        <v>2744</v>
      </c>
      <c r="H211" s="1" t="s">
        <v>2744</v>
      </c>
      <c r="I211" s="1" t="s">
        <v>2744</v>
      </c>
      <c r="J211" s="1" t="s">
        <v>2744</v>
      </c>
      <c r="K211" s="1" t="s">
        <v>2744</v>
      </c>
      <c r="L211" s="1" t="s">
        <v>2744</v>
      </c>
      <c r="M211" s="1" t="s">
        <v>2744</v>
      </c>
      <c r="N211" s="1" t="s">
        <v>2744</v>
      </c>
      <c r="O211" s="1" t="s">
        <v>2744</v>
      </c>
      <c r="P211" s="1" t="s">
        <v>2744</v>
      </c>
      <c r="Q211" s="1" t="s">
        <v>2744</v>
      </c>
    </row>
    <row r="212" spans="2:17" ht="28" x14ac:dyDescent="0.3">
      <c r="B212" s="19" t="s">
        <v>3301</v>
      </c>
      <c r="C212" s="17" t="s">
        <v>461</v>
      </c>
      <c r="D212" s="16"/>
      <c r="E212" s="2"/>
      <c r="F212" s="2"/>
      <c r="G212" s="2"/>
      <c r="H212" s="2"/>
      <c r="I212" s="3">
        <f>SUM(GMIC_22A_SCDPT3!SCDPT3_130BEGINNG_7:GMIC_22A_SCDPT3!SCDPT3_130ENDINGG_7)</f>
        <v>0</v>
      </c>
      <c r="J212" s="3">
        <f>SUM(GMIC_22A_SCDPT3!SCDPT3_130BEGINNG_8:GMIC_22A_SCDPT3!SCDPT3_130ENDINGG_8)</f>
        <v>0</v>
      </c>
      <c r="K212" s="3">
        <f>SUM(GMIC_22A_SCDPT3!SCDPT3_130BEGINNG_9:GMIC_22A_SCDPT3!SCDPT3_130ENDINGG_9)</f>
        <v>0</v>
      </c>
      <c r="L212" s="2"/>
      <c r="M212" s="2"/>
      <c r="N212" s="2"/>
      <c r="O212" s="2"/>
      <c r="P212" s="2"/>
      <c r="Q212" s="2"/>
    </row>
    <row r="213" spans="2:17" x14ac:dyDescent="0.3">
      <c r="B213" s="7" t="s">
        <v>2744</v>
      </c>
      <c r="C213" s="1" t="s">
        <v>2744</v>
      </c>
      <c r="D213" s="8" t="s">
        <v>2744</v>
      </c>
      <c r="E213" s="1" t="s">
        <v>2744</v>
      </c>
      <c r="F213" s="1" t="s">
        <v>2744</v>
      </c>
      <c r="G213" s="1" t="s">
        <v>2744</v>
      </c>
      <c r="H213" s="1" t="s">
        <v>2744</v>
      </c>
      <c r="I213" s="1" t="s">
        <v>2744</v>
      </c>
      <c r="J213" s="1" t="s">
        <v>2744</v>
      </c>
      <c r="K213" s="1" t="s">
        <v>2744</v>
      </c>
      <c r="L213" s="1" t="s">
        <v>2744</v>
      </c>
      <c r="M213" s="1" t="s">
        <v>2744</v>
      </c>
      <c r="N213" s="1" t="s">
        <v>2744</v>
      </c>
      <c r="O213" s="1" t="s">
        <v>2744</v>
      </c>
      <c r="P213" s="1" t="s">
        <v>2744</v>
      </c>
      <c r="Q213" s="1" t="s">
        <v>2744</v>
      </c>
    </row>
    <row r="214" spans="2:17" x14ac:dyDescent="0.3">
      <c r="B214" s="18" t="s">
        <v>2998</v>
      </c>
      <c r="C214" s="25" t="s">
        <v>3897</v>
      </c>
      <c r="D214" s="15" t="s">
        <v>2</v>
      </c>
      <c r="E214" s="20" t="s">
        <v>2</v>
      </c>
      <c r="F214" s="6"/>
      <c r="G214" s="5" t="s">
        <v>2</v>
      </c>
      <c r="H214" s="2"/>
      <c r="I214" s="4"/>
      <c r="J214" s="4"/>
      <c r="K214" s="4"/>
      <c r="L214" s="2"/>
      <c r="M214" s="5" t="s">
        <v>2</v>
      </c>
      <c r="N214" s="5" t="s">
        <v>2</v>
      </c>
      <c r="O214" s="5" t="s">
        <v>2</v>
      </c>
      <c r="P214" s="21" t="s">
        <v>2</v>
      </c>
      <c r="Q214" s="26" t="s">
        <v>2</v>
      </c>
    </row>
    <row r="215" spans="2:17" x14ac:dyDescent="0.3">
      <c r="B215" s="7" t="s">
        <v>2744</v>
      </c>
      <c r="C215" s="1" t="s">
        <v>2744</v>
      </c>
      <c r="D215" s="8" t="s">
        <v>2744</v>
      </c>
      <c r="E215" s="1" t="s">
        <v>2744</v>
      </c>
      <c r="F215" s="1" t="s">
        <v>2744</v>
      </c>
      <c r="G215" s="1" t="s">
        <v>2744</v>
      </c>
      <c r="H215" s="1" t="s">
        <v>2744</v>
      </c>
      <c r="I215" s="1" t="s">
        <v>2744</v>
      </c>
      <c r="J215" s="1" t="s">
        <v>2744</v>
      </c>
      <c r="K215" s="1" t="s">
        <v>2744</v>
      </c>
      <c r="L215" s="1" t="s">
        <v>2744</v>
      </c>
      <c r="M215" s="1" t="s">
        <v>2744</v>
      </c>
      <c r="N215" s="1" t="s">
        <v>2744</v>
      </c>
      <c r="O215" s="1" t="s">
        <v>2744</v>
      </c>
      <c r="P215" s="1" t="s">
        <v>2744</v>
      </c>
      <c r="Q215" s="1" t="s">
        <v>2744</v>
      </c>
    </row>
    <row r="216" spans="2:17" ht="28" x14ac:dyDescent="0.3">
      <c r="B216" s="19" t="s">
        <v>3837</v>
      </c>
      <c r="C216" s="17" t="s">
        <v>1091</v>
      </c>
      <c r="D216" s="16"/>
      <c r="E216" s="2"/>
      <c r="F216" s="2"/>
      <c r="G216" s="2"/>
      <c r="H216" s="2"/>
      <c r="I216" s="3">
        <f>SUM(GMIC_22A_SCDPT3!SCDPT3_150BEGINNG_7:GMIC_22A_SCDPT3!SCDPT3_150ENDINGG_7)</f>
        <v>0</v>
      </c>
      <c r="J216" s="3">
        <f>SUM(GMIC_22A_SCDPT3!SCDPT3_150BEGINNG_8:GMIC_22A_SCDPT3!SCDPT3_150ENDINGG_8)</f>
        <v>0</v>
      </c>
      <c r="K216" s="3">
        <f>SUM(GMIC_22A_SCDPT3!SCDPT3_150BEGINNG_9:GMIC_22A_SCDPT3!SCDPT3_150ENDINGG_9)</f>
        <v>0</v>
      </c>
      <c r="L216" s="2"/>
      <c r="M216" s="2"/>
      <c r="N216" s="2"/>
      <c r="O216" s="2"/>
      <c r="P216" s="2"/>
      <c r="Q216" s="2"/>
    </row>
    <row r="217" spans="2:17" x14ac:dyDescent="0.3">
      <c r="B217" s="7" t="s">
        <v>2744</v>
      </c>
      <c r="C217" s="1" t="s">
        <v>2744</v>
      </c>
      <c r="D217" s="8" t="s">
        <v>2744</v>
      </c>
      <c r="E217" s="1" t="s">
        <v>2744</v>
      </c>
      <c r="F217" s="1" t="s">
        <v>2744</v>
      </c>
      <c r="G217" s="1" t="s">
        <v>2744</v>
      </c>
      <c r="H217" s="1" t="s">
        <v>2744</v>
      </c>
      <c r="I217" s="1" t="s">
        <v>2744</v>
      </c>
      <c r="J217" s="1" t="s">
        <v>2744</v>
      </c>
      <c r="K217" s="1" t="s">
        <v>2744</v>
      </c>
      <c r="L217" s="1" t="s">
        <v>2744</v>
      </c>
      <c r="M217" s="1" t="s">
        <v>2744</v>
      </c>
      <c r="N217" s="1" t="s">
        <v>2744</v>
      </c>
      <c r="O217" s="1" t="s">
        <v>2744</v>
      </c>
      <c r="P217" s="1" t="s">
        <v>2744</v>
      </c>
      <c r="Q217" s="1" t="s">
        <v>2744</v>
      </c>
    </row>
    <row r="218" spans="2:17" x14ac:dyDescent="0.3">
      <c r="B218" s="18" t="s">
        <v>2466</v>
      </c>
      <c r="C218" s="25" t="s">
        <v>3897</v>
      </c>
      <c r="D218" s="15" t="s">
        <v>2</v>
      </c>
      <c r="E218" s="20" t="s">
        <v>2</v>
      </c>
      <c r="F218" s="6"/>
      <c r="G218" s="5" t="s">
        <v>2</v>
      </c>
      <c r="H218" s="28"/>
      <c r="I218" s="4"/>
      <c r="J218" s="4"/>
      <c r="K218" s="4"/>
      <c r="L218" s="2"/>
      <c r="M218" s="5" t="s">
        <v>2</v>
      </c>
      <c r="N218" s="5" t="s">
        <v>2</v>
      </c>
      <c r="O218" s="5" t="s">
        <v>2</v>
      </c>
      <c r="P218" s="21" t="s">
        <v>2</v>
      </c>
      <c r="Q218" s="26" t="s">
        <v>2</v>
      </c>
    </row>
    <row r="219" spans="2:17" x14ac:dyDescent="0.3">
      <c r="B219" s="7" t="s">
        <v>2744</v>
      </c>
      <c r="C219" s="1" t="s">
        <v>2744</v>
      </c>
      <c r="D219" s="8" t="s">
        <v>2744</v>
      </c>
      <c r="E219" s="1" t="s">
        <v>2744</v>
      </c>
      <c r="F219" s="1" t="s">
        <v>2744</v>
      </c>
      <c r="G219" s="1" t="s">
        <v>2744</v>
      </c>
      <c r="H219" s="1" t="s">
        <v>2744</v>
      </c>
      <c r="I219" s="1" t="s">
        <v>2744</v>
      </c>
      <c r="J219" s="1" t="s">
        <v>2744</v>
      </c>
      <c r="K219" s="1" t="s">
        <v>2744</v>
      </c>
      <c r="L219" s="1" t="s">
        <v>2744</v>
      </c>
      <c r="M219" s="1" t="s">
        <v>2744</v>
      </c>
      <c r="N219" s="1" t="s">
        <v>2744</v>
      </c>
      <c r="O219" s="1" t="s">
        <v>2744</v>
      </c>
      <c r="P219" s="1" t="s">
        <v>2744</v>
      </c>
      <c r="Q219" s="1" t="s">
        <v>2744</v>
      </c>
    </row>
    <row r="220" spans="2:17" ht="28" x14ac:dyDescent="0.3">
      <c r="B220" s="19" t="s">
        <v>3303</v>
      </c>
      <c r="C220" s="17" t="s">
        <v>3854</v>
      </c>
      <c r="D220" s="16"/>
      <c r="E220" s="2"/>
      <c r="F220" s="2"/>
      <c r="G220" s="2"/>
      <c r="H220" s="2"/>
      <c r="I220" s="3">
        <f>SUM(GMIC_22A_SCDPT3!SCDPT3_161BEGINNG_7:GMIC_22A_SCDPT3!SCDPT3_161ENDINGG_7)</f>
        <v>0</v>
      </c>
      <c r="J220" s="3">
        <f>SUM(GMIC_22A_SCDPT3!SCDPT3_161BEGINNG_8:GMIC_22A_SCDPT3!SCDPT3_161ENDINGG_8)</f>
        <v>0</v>
      </c>
      <c r="K220" s="3">
        <f>SUM(GMIC_22A_SCDPT3!SCDPT3_161BEGINNG_9:GMIC_22A_SCDPT3!SCDPT3_161ENDINGG_9)</f>
        <v>0</v>
      </c>
      <c r="L220" s="2"/>
      <c r="M220" s="2"/>
      <c r="N220" s="2"/>
      <c r="O220" s="2"/>
      <c r="P220" s="2"/>
      <c r="Q220" s="2"/>
    </row>
    <row r="221" spans="2:17" x14ac:dyDescent="0.3">
      <c r="B221" s="7" t="s">
        <v>2744</v>
      </c>
      <c r="C221" s="1" t="s">
        <v>2744</v>
      </c>
      <c r="D221" s="8" t="s">
        <v>2744</v>
      </c>
      <c r="E221" s="1" t="s">
        <v>2744</v>
      </c>
      <c r="F221" s="1" t="s">
        <v>2744</v>
      </c>
      <c r="G221" s="1" t="s">
        <v>2744</v>
      </c>
      <c r="H221" s="1" t="s">
        <v>2744</v>
      </c>
      <c r="I221" s="1" t="s">
        <v>2744</v>
      </c>
      <c r="J221" s="1" t="s">
        <v>2744</v>
      </c>
      <c r="K221" s="1" t="s">
        <v>2744</v>
      </c>
      <c r="L221" s="1" t="s">
        <v>2744</v>
      </c>
      <c r="M221" s="1" t="s">
        <v>2744</v>
      </c>
      <c r="N221" s="1" t="s">
        <v>2744</v>
      </c>
      <c r="O221" s="1" t="s">
        <v>2744</v>
      </c>
      <c r="P221" s="1" t="s">
        <v>2744</v>
      </c>
      <c r="Q221" s="1" t="s">
        <v>2744</v>
      </c>
    </row>
    <row r="222" spans="2:17" x14ac:dyDescent="0.3">
      <c r="B222" s="18" t="s">
        <v>4135</v>
      </c>
      <c r="C222" s="25" t="s">
        <v>3897</v>
      </c>
      <c r="D222" s="15" t="s">
        <v>2</v>
      </c>
      <c r="E222" s="20" t="s">
        <v>2</v>
      </c>
      <c r="F222" s="6"/>
      <c r="G222" s="5" t="s">
        <v>2</v>
      </c>
      <c r="H222" s="2"/>
      <c r="I222" s="4"/>
      <c r="J222" s="4"/>
      <c r="K222" s="4"/>
      <c r="L222" s="2"/>
      <c r="M222" s="5" t="s">
        <v>2</v>
      </c>
      <c r="N222" s="5" t="s">
        <v>2</v>
      </c>
      <c r="O222" s="5" t="s">
        <v>2</v>
      </c>
      <c r="P222" s="21" t="s">
        <v>2</v>
      </c>
      <c r="Q222" s="26" t="s">
        <v>2</v>
      </c>
    </row>
    <row r="223" spans="2:17" x14ac:dyDescent="0.3">
      <c r="B223" s="7" t="s">
        <v>2744</v>
      </c>
      <c r="C223" s="1" t="s">
        <v>2744</v>
      </c>
      <c r="D223" s="8" t="s">
        <v>2744</v>
      </c>
      <c r="E223" s="1" t="s">
        <v>2744</v>
      </c>
      <c r="F223" s="1" t="s">
        <v>2744</v>
      </c>
      <c r="G223" s="1" t="s">
        <v>2744</v>
      </c>
      <c r="H223" s="1" t="s">
        <v>2744</v>
      </c>
      <c r="I223" s="1" t="s">
        <v>2744</v>
      </c>
      <c r="J223" s="1" t="s">
        <v>2744</v>
      </c>
      <c r="K223" s="1" t="s">
        <v>2744</v>
      </c>
      <c r="L223" s="1" t="s">
        <v>2744</v>
      </c>
      <c r="M223" s="1" t="s">
        <v>2744</v>
      </c>
      <c r="N223" s="1" t="s">
        <v>2744</v>
      </c>
      <c r="O223" s="1" t="s">
        <v>2744</v>
      </c>
      <c r="P223" s="1" t="s">
        <v>2744</v>
      </c>
      <c r="Q223" s="1" t="s">
        <v>2744</v>
      </c>
    </row>
    <row r="224" spans="2:17" ht="28" x14ac:dyDescent="0.3">
      <c r="B224" s="19" t="s">
        <v>444</v>
      </c>
      <c r="C224" s="17" t="s">
        <v>1047</v>
      </c>
      <c r="D224" s="16"/>
      <c r="E224" s="2"/>
      <c r="F224" s="2"/>
      <c r="G224" s="2"/>
      <c r="H224" s="2"/>
      <c r="I224" s="3">
        <f>SUM(GMIC_22A_SCDPT3!SCDPT3_190BEGINNG_7:GMIC_22A_SCDPT3!SCDPT3_190ENDINGG_7)</f>
        <v>0</v>
      </c>
      <c r="J224" s="3">
        <f>SUM(GMIC_22A_SCDPT3!SCDPT3_190BEGINNG_8:GMIC_22A_SCDPT3!SCDPT3_190ENDINGG_8)</f>
        <v>0</v>
      </c>
      <c r="K224" s="3">
        <f>SUM(GMIC_22A_SCDPT3!SCDPT3_190BEGINNG_9:GMIC_22A_SCDPT3!SCDPT3_190ENDINGG_9)</f>
        <v>0</v>
      </c>
      <c r="L224" s="2"/>
      <c r="M224" s="2"/>
      <c r="N224" s="2"/>
      <c r="O224" s="2"/>
      <c r="P224" s="2"/>
      <c r="Q224" s="2"/>
    </row>
    <row r="225" spans="2:17" x14ac:dyDescent="0.3">
      <c r="B225" s="7" t="s">
        <v>2744</v>
      </c>
      <c r="C225" s="1" t="s">
        <v>2744</v>
      </c>
      <c r="D225" s="8" t="s">
        <v>2744</v>
      </c>
      <c r="E225" s="1" t="s">
        <v>2744</v>
      </c>
      <c r="F225" s="1" t="s">
        <v>2744</v>
      </c>
      <c r="G225" s="1" t="s">
        <v>2744</v>
      </c>
      <c r="H225" s="1" t="s">
        <v>2744</v>
      </c>
      <c r="I225" s="1" t="s">
        <v>2744</v>
      </c>
      <c r="J225" s="1" t="s">
        <v>2744</v>
      </c>
      <c r="K225" s="1" t="s">
        <v>2744</v>
      </c>
      <c r="L225" s="1" t="s">
        <v>2744</v>
      </c>
      <c r="M225" s="1" t="s">
        <v>2744</v>
      </c>
      <c r="N225" s="1" t="s">
        <v>2744</v>
      </c>
      <c r="O225" s="1" t="s">
        <v>2744</v>
      </c>
      <c r="P225" s="1" t="s">
        <v>2744</v>
      </c>
      <c r="Q225" s="1" t="s">
        <v>2744</v>
      </c>
    </row>
    <row r="226" spans="2:17" x14ac:dyDescent="0.3">
      <c r="B226" s="18" t="s">
        <v>445</v>
      </c>
      <c r="C226" s="25" t="s">
        <v>3897</v>
      </c>
      <c r="D226" s="15" t="s">
        <v>2</v>
      </c>
      <c r="E226" s="20" t="s">
        <v>2</v>
      </c>
      <c r="F226" s="6"/>
      <c r="G226" s="5" t="s">
        <v>2</v>
      </c>
      <c r="H226" s="2"/>
      <c r="I226" s="4"/>
      <c r="J226" s="4"/>
      <c r="K226" s="4"/>
      <c r="L226" s="2"/>
      <c r="M226" s="5" t="s">
        <v>2</v>
      </c>
      <c r="N226" s="5" t="s">
        <v>2</v>
      </c>
      <c r="O226" s="5" t="s">
        <v>2</v>
      </c>
      <c r="P226" s="21" t="s">
        <v>2</v>
      </c>
      <c r="Q226" s="26" t="s">
        <v>2</v>
      </c>
    </row>
    <row r="227" spans="2:17" x14ac:dyDescent="0.3">
      <c r="B227" s="7" t="s">
        <v>2744</v>
      </c>
      <c r="C227" s="1" t="s">
        <v>2744</v>
      </c>
      <c r="D227" s="8" t="s">
        <v>2744</v>
      </c>
      <c r="E227" s="1" t="s">
        <v>2744</v>
      </c>
      <c r="F227" s="1" t="s">
        <v>2744</v>
      </c>
      <c r="G227" s="1" t="s">
        <v>2744</v>
      </c>
      <c r="H227" s="1" t="s">
        <v>2744</v>
      </c>
      <c r="I227" s="1" t="s">
        <v>2744</v>
      </c>
      <c r="J227" s="1" t="s">
        <v>2744</v>
      </c>
      <c r="K227" s="1" t="s">
        <v>2744</v>
      </c>
      <c r="L227" s="1" t="s">
        <v>2744</v>
      </c>
      <c r="M227" s="1" t="s">
        <v>2744</v>
      </c>
      <c r="N227" s="1" t="s">
        <v>2744</v>
      </c>
      <c r="O227" s="1" t="s">
        <v>2744</v>
      </c>
      <c r="P227" s="1" t="s">
        <v>2744</v>
      </c>
      <c r="Q227" s="1" t="s">
        <v>2744</v>
      </c>
    </row>
    <row r="228" spans="2:17" ht="28" x14ac:dyDescent="0.3">
      <c r="B228" s="19" t="s">
        <v>1338</v>
      </c>
      <c r="C228" s="17" t="s">
        <v>698</v>
      </c>
      <c r="D228" s="16"/>
      <c r="E228" s="2"/>
      <c r="F228" s="2"/>
      <c r="G228" s="2"/>
      <c r="H228" s="2"/>
      <c r="I228" s="3">
        <f>SUM(GMIC_22A_SCDPT3!SCDPT3_201BEGINNG_7:GMIC_22A_SCDPT3!SCDPT3_201ENDINGG_7)</f>
        <v>0</v>
      </c>
      <c r="J228" s="3">
        <f>SUM(GMIC_22A_SCDPT3!SCDPT3_201BEGINNG_8:GMIC_22A_SCDPT3!SCDPT3_201ENDINGG_8)</f>
        <v>0</v>
      </c>
      <c r="K228" s="3">
        <f>SUM(GMIC_22A_SCDPT3!SCDPT3_201BEGINNG_9:GMIC_22A_SCDPT3!SCDPT3_201ENDINGG_9)</f>
        <v>0</v>
      </c>
      <c r="L228" s="2"/>
      <c r="M228" s="2"/>
      <c r="N228" s="2"/>
      <c r="O228" s="2"/>
      <c r="P228" s="2"/>
      <c r="Q228" s="2"/>
    </row>
    <row r="229" spans="2:17" x14ac:dyDescent="0.3">
      <c r="B229" s="19" t="s">
        <v>1359</v>
      </c>
      <c r="C229" s="17" t="s">
        <v>3610</v>
      </c>
      <c r="D229" s="16"/>
      <c r="E229" s="2"/>
      <c r="F229" s="2"/>
      <c r="G229" s="2"/>
      <c r="H229" s="2"/>
      <c r="I229" s="3">
        <f>GMIC_22A_SCDPT3!SCDPT3_0109999999_7+GMIC_22A_SCDPT3!SCDPT3_0309999999_7+GMIC_22A_SCDPT3!SCDPT3_0509999999_7+GMIC_22A_SCDPT3!SCDPT3_0709999999_7+GMIC_22A_SCDPT3!SCDPT3_0909999999_7+GMIC_22A_SCDPT3!SCDPT3_1109999999_7+GMIC_22A_SCDPT3!SCDPT3_1309999999_7+GMIC_22A_SCDPT3!SCDPT3_1509999999_7+GMIC_22A_SCDPT3!SCDPT3_1619999999_7+GMIC_22A_SCDPT3!SCDPT3_1909999999_7+GMIC_22A_SCDPT3!SCDPT3_2019999999_7</f>
        <v>978038832</v>
      </c>
      <c r="J229" s="3">
        <f>GMIC_22A_SCDPT3!SCDPT3_0109999999_8+GMIC_22A_SCDPT3!SCDPT3_0309999999_8+GMIC_22A_SCDPT3!SCDPT3_0509999999_8+GMIC_22A_SCDPT3!SCDPT3_0709999999_8+GMIC_22A_SCDPT3!SCDPT3_0909999999_8+GMIC_22A_SCDPT3!SCDPT3_1109999999_8+GMIC_22A_SCDPT3!SCDPT3_1309999999_8+GMIC_22A_SCDPT3!SCDPT3_1509999999_8+GMIC_22A_SCDPT3!SCDPT3_1619999999_8+GMIC_22A_SCDPT3!SCDPT3_1909999999_8+GMIC_22A_SCDPT3!SCDPT3_2019999999_8</f>
        <v>989856227</v>
      </c>
      <c r="K229" s="3">
        <f>GMIC_22A_SCDPT3!SCDPT3_0109999999_9+GMIC_22A_SCDPT3!SCDPT3_0309999999_9+GMIC_22A_SCDPT3!SCDPT3_0509999999_9+GMIC_22A_SCDPT3!SCDPT3_0709999999_9+GMIC_22A_SCDPT3!SCDPT3_0909999999_9+GMIC_22A_SCDPT3!SCDPT3_1109999999_9+GMIC_22A_SCDPT3!SCDPT3_1309999999_9+GMIC_22A_SCDPT3!SCDPT3_1509999999_9+GMIC_22A_SCDPT3!SCDPT3_1619999999_9+GMIC_22A_SCDPT3!SCDPT3_1909999999_9+GMIC_22A_SCDPT3!SCDPT3_2019999999_9</f>
        <v>1494612</v>
      </c>
      <c r="L229" s="2"/>
      <c r="M229" s="2"/>
      <c r="N229" s="2"/>
      <c r="O229" s="2"/>
      <c r="P229" s="2"/>
      <c r="Q229" s="2"/>
    </row>
    <row r="230" spans="2:17" x14ac:dyDescent="0.3">
      <c r="B230" s="19" t="s">
        <v>2487</v>
      </c>
      <c r="C230" s="17" t="s">
        <v>1360</v>
      </c>
      <c r="D230" s="16"/>
      <c r="E230" s="2"/>
      <c r="F230" s="2"/>
      <c r="G230" s="2"/>
      <c r="H230" s="2"/>
      <c r="I230" s="36">
        <v>26627842</v>
      </c>
      <c r="J230" s="36">
        <v>26794881.629999999</v>
      </c>
      <c r="K230" s="36">
        <v>94860</v>
      </c>
      <c r="L230" s="2"/>
      <c r="M230" s="2"/>
      <c r="N230" s="2"/>
      <c r="O230" s="2"/>
      <c r="P230" s="2"/>
      <c r="Q230" s="2"/>
    </row>
    <row r="231" spans="2:17" x14ac:dyDescent="0.3">
      <c r="B231" s="19" t="s">
        <v>3595</v>
      </c>
      <c r="C231" s="17" t="s">
        <v>2488</v>
      </c>
      <c r="D231" s="16"/>
      <c r="E231" s="2"/>
      <c r="F231" s="2"/>
      <c r="G231" s="2"/>
      <c r="H231" s="2"/>
      <c r="I231" s="3">
        <f>GMIC_22A_SCDPT3!SCDPT3_2509999997_7+GMIC_22A_SCDPT3!SCDPT3_2509999998_7</f>
        <v>1004666674</v>
      </c>
      <c r="J231" s="3">
        <f>GMIC_22A_SCDPT3!SCDPT3_2509999997_8+GMIC_22A_SCDPT3!SCDPT3_2509999998_8</f>
        <v>1016651108.63</v>
      </c>
      <c r="K231" s="3">
        <f>GMIC_22A_SCDPT3!SCDPT3_2509999997_9+GMIC_22A_SCDPT3!SCDPT3_2509999998_9</f>
        <v>1589472</v>
      </c>
      <c r="L231" s="2"/>
      <c r="M231" s="2"/>
      <c r="N231" s="2"/>
      <c r="O231" s="2"/>
      <c r="P231" s="2"/>
      <c r="Q231" s="2"/>
    </row>
    <row r="232" spans="2:17" x14ac:dyDescent="0.3">
      <c r="B232" s="7" t="s">
        <v>2744</v>
      </c>
      <c r="C232" s="1" t="s">
        <v>2744</v>
      </c>
      <c r="D232" s="8" t="s">
        <v>2744</v>
      </c>
      <c r="E232" s="1" t="s">
        <v>2744</v>
      </c>
      <c r="F232" s="1" t="s">
        <v>2744</v>
      </c>
      <c r="G232" s="1" t="s">
        <v>2744</v>
      </c>
      <c r="H232" s="1" t="s">
        <v>2744</v>
      </c>
      <c r="I232" s="1" t="s">
        <v>2744</v>
      </c>
      <c r="J232" s="1" t="s">
        <v>2744</v>
      </c>
      <c r="K232" s="1" t="s">
        <v>2744</v>
      </c>
      <c r="L232" s="1" t="s">
        <v>2744</v>
      </c>
      <c r="M232" s="1" t="s">
        <v>2744</v>
      </c>
      <c r="N232" s="1" t="s">
        <v>2744</v>
      </c>
      <c r="O232" s="1" t="s">
        <v>2744</v>
      </c>
      <c r="P232" s="1" t="s">
        <v>2744</v>
      </c>
      <c r="Q232" s="1" t="s">
        <v>2744</v>
      </c>
    </row>
    <row r="233" spans="2:17" x14ac:dyDescent="0.3">
      <c r="B233" s="18" t="s">
        <v>4115</v>
      </c>
      <c r="C233" s="25" t="s">
        <v>3897</v>
      </c>
      <c r="D233" s="15" t="s">
        <v>2</v>
      </c>
      <c r="E233" s="20" t="s">
        <v>2</v>
      </c>
      <c r="F233" s="6"/>
      <c r="G233" s="5" t="s">
        <v>2</v>
      </c>
      <c r="H233" s="28"/>
      <c r="I233" s="4"/>
      <c r="J233" s="60"/>
      <c r="K233" s="4"/>
      <c r="L233" s="2"/>
      <c r="M233" s="5" t="s">
        <v>2</v>
      </c>
      <c r="N233" s="5" t="s">
        <v>2</v>
      </c>
      <c r="O233" s="5" t="s">
        <v>2</v>
      </c>
      <c r="P233" s="21" t="s">
        <v>2</v>
      </c>
      <c r="Q233" s="26" t="s">
        <v>2</v>
      </c>
    </row>
    <row r="234" spans="2:17" x14ac:dyDescent="0.3">
      <c r="B234" s="7" t="s">
        <v>2744</v>
      </c>
      <c r="C234" s="1" t="s">
        <v>2744</v>
      </c>
      <c r="D234" s="8" t="s">
        <v>2744</v>
      </c>
      <c r="E234" s="1" t="s">
        <v>2744</v>
      </c>
      <c r="F234" s="1" t="s">
        <v>2744</v>
      </c>
      <c r="G234" s="1" t="s">
        <v>2744</v>
      </c>
      <c r="H234" s="1" t="s">
        <v>2744</v>
      </c>
      <c r="I234" s="1" t="s">
        <v>2744</v>
      </c>
      <c r="J234" s="1" t="s">
        <v>2744</v>
      </c>
      <c r="K234" s="1" t="s">
        <v>2744</v>
      </c>
      <c r="L234" s="1" t="s">
        <v>2744</v>
      </c>
      <c r="M234" s="1" t="s">
        <v>2744</v>
      </c>
      <c r="N234" s="1" t="s">
        <v>2744</v>
      </c>
      <c r="O234" s="1" t="s">
        <v>2744</v>
      </c>
      <c r="P234" s="1" t="s">
        <v>2744</v>
      </c>
      <c r="Q234" s="1" t="s">
        <v>2744</v>
      </c>
    </row>
    <row r="235" spans="2:17" ht="56" x14ac:dyDescent="0.3">
      <c r="B235" s="19" t="s">
        <v>700</v>
      </c>
      <c r="C235" s="17" t="s">
        <v>4136</v>
      </c>
      <c r="D235" s="16"/>
      <c r="E235" s="2"/>
      <c r="F235" s="2"/>
      <c r="G235" s="2"/>
      <c r="H235" s="2"/>
      <c r="I235" s="3">
        <f>SUM(GMIC_22A_SCDPT3!SCDPT3_401BEGINNG_7:GMIC_22A_SCDPT3!SCDPT3_401ENDINGG_7)</f>
        <v>0</v>
      </c>
      <c r="J235" s="2"/>
      <c r="K235" s="3">
        <f>SUM(GMIC_22A_SCDPT3!SCDPT3_401BEGINNG_9:GMIC_22A_SCDPT3!SCDPT3_401ENDINGG_9)</f>
        <v>0</v>
      </c>
      <c r="L235" s="2"/>
      <c r="M235" s="2"/>
      <c r="N235" s="2"/>
      <c r="O235" s="2"/>
      <c r="P235" s="2"/>
      <c r="Q235" s="2"/>
    </row>
    <row r="236" spans="2:17" x14ac:dyDescent="0.3">
      <c r="B236" s="7" t="s">
        <v>2744</v>
      </c>
      <c r="C236" s="1" t="s">
        <v>2744</v>
      </c>
      <c r="D236" s="8" t="s">
        <v>2744</v>
      </c>
      <c r="E236" s="1" t="s">
        <v>2744</v>
      </c>
      <c r="F236" s="1" t="s">
        <v>2744</v>
      </c>
      <c r="G236" s="1" t="s">
        <v>2744</v>
      </c>
      <c r="H236" s="1" t="s">
        <v>2744</v>
      </c>
      <c r="I236" s="1" t="s">
        <v>2744</v>
      </c>
      <c r="J236" s="1" t="s">
        <v>2744</v>
      </c>
      <c r="K236" s="1" t="s">
        <v>2744</v>
      </c>
      <c r="L236" s="1" t="s">
        <v>2744</v>
      </c>
      <c r="M236" s="1" t="s">
        <v>2744</v>
      </c>
      <c r="N236" s="1" t="s">
        <v>2744</v>
      </c>
      <c r="O236" s="1" t="s">
        <v>2744</v>
      </c>
      <c r="P236" s="1" t="s">
        <v>2744</v>
      </c>
      <c r="Q236" s="1" t="s">
        <v>2744</v>
      </c>
    </row>
    <row r="237" spans="2:17" x14ac:dyDescent="0.3">
      <c r="B237" s="18" t="s">
        <v>3306</v>
      </c>
      <c r="C237" s="25" t="s">
        <v>3897</v>
      </c>
      <c r="D237" s="15" t="s">
        <v>2</v>
      </c>
      <c r="E237" s="20" t="s">
        <v>2</v>
      </c>
      <c r="F237" s="6"/>
      <c r="G237" s="5" t="s">
        <v>2</v>
      </c>
      <c r="H237" s="28"/>
      <c r="I237" s="4"/>
      <c r="J237" s="60"/>
      <c r="K237" s="4"/>
      <c r="L237" s="2"/>
      <c r="M237" s="5" t="s">
        <v>2</v>
      </c>
      <c r="N237" s="5" t="s">
        <v>2</v>
      </c>
      <c r="O237" s="5" t="s">
        <v>2</v>
      </c>
      <c r="P237" s="21" t="s">
        <v>2</v>
      </c>
      <c r="Q237" s="26" t="s">
        <v>2</v>
      </c>
    </row>
    <row r="238" spans="2:17" x14ac:dyDescent="0.3">
      <c r="B238" s="7" t="s">
        <v>2744</v>
      </c>
      <c r="C238" s="1" t="s">
        <v>2744</v>
      </c>
      <c r="D238" s="8" t="s">
        <v>2744</v>
      </c>
      <c r="E238" s="1" t="s">
        <v>2744</v>
      </c>
      <c r="F238" s="1" t="s">
        <v>2744</v>
      </c>
      <c r="G238" s="1" t="s">
        <v>2744</v>
      </c>
      <c r="H238" s="1" t="s">
        <v>2744</v>
      </c>
      <c r="I238" s="1" t="s">
        <v>2744</v>
      </c>
      <c r="J238" s="1" t="s">
        <v>2744</v>
      </c>
      <c r="K238" s="1" t="s">
        <v>2744</v>
      </c>
      <c r="L238" s="1" t="s">
        <v>2744</v>
      </c>
      <c r="M238" s="1" t="s">
        <v>2744</v>
      </c>
      <c r="N238" s="1" t="s">
        <v>2744</v>
      </c>
      <c r="O238" s="1" t="s">
        <v>2744</v>
      </c>
      <c r="P238" s="1" t="s">
        <v>2744</v>
      </c>
      <c r="Q238" s="1" t="s">
        <v>2744</v>
      </c>
    </row>
    <row r="239" spans="2:17" ht="56" x14ac:dyDescent="0.3">
      <c r="B239" s="19" t="s">
        <v>4451</v>
      </c>
      <c r="C239" s="17" t="s">
        <v>4137</v>
      </c>
      <c r="D239" s="16"/>
      <c r="E239" s="2"/>
      <c r="F239" s="2"/>
      <c r="G239" s="2"/>
      <c r="H239" s="2"/>
      <c r="I239" s="3">
        <f>SUM(GMIC_22A_SCDPT3!SCDPT3_402BEGINNG_7:GMIC_22A_SCDPT3!SCDPT3_402ENDINGG_7)</f>
        <v>0</v>
      </c>
      <c r="J239" s="2"/>
      <c r="K239" s="3">
        <f>SUM(GMIC_22A_SCDPT3!SCDPT3_402BEGINNG_9:GMIC_22A_SCDPT3!SCDPT3_402ENDINGG_9)</f>
        <v>0</v>
      </c>
      <c r="L239" s="2"/>
      <c r="M239" s="2"/>
      <c r="N239" s="2"/>
      <c r="O239" s="2"/>
      <c r="P239" s="2"/>
      <c r="Q239" s="2"/>
    </row>
    <row r="240" spans="2:17" x14ac:dyDescent="0.3">
      <c r="B240" s="7" t="s">
        <v>2744</v>
      </c>
      <c r="C240" s="1" t="s">
        <v>2744</v>
      </c>
      <c r="D240" s="8" t="s">
        <v>2744</v>
      </c>
      <c r="E240" s="1" t="s">
        <v>2744</v>
      </c>
      <c r="F240" s="1" t="s">
        <v>2744</v>
      </c>
      <c r="G240" s="1" t="s">
        <v>2744</v>
      </c>
      <c r="H240" s="1" t="s">
        <v>2744</v>
      </c>
      <c r="I240" s="1" t="s">
        <v>2744</v>
      </c>
      <c r="J240" s="1" t="s">
        <v>2744</v>
      </c>
      <c r="K240" s="1" t="s">
        <v>2744</v>
      </c>
      <c r="L240" s="1" t="s">
        <v>2744</v>
      </c>
      <c r="M240" s="1" t="s">
        <v>2744</v>
      </c>
      <c r="N240" s="1" t="s">
        <v>2744</v>
      </c>
      <c r="O240" s="1" t="s">
        <v>2744</v>
      </c>
      <c r="P240" s="1" t="s">
        <v>2744</v>
      </c>
      <c r="Q240" s="1" t="s">
        <v>2744</v>
      </c>
    </row>
    <row r="241" spans="2:17" x14ac:dyDescent="0.3">
      <c r="B241" s="18" t="s">
        <v>450</v>
      </c>
      <c r="C241" s="25" t="s">
        <v>3897</v>
      </c>
      <c r="D241" s="15" t="s">
        <v>2</v>
      </c>
      <c r="E241" s="20" t="s">
        <v>2</v>
      </c>
      <c r="F241" s="6"/>
      <c r="G241" s="5" t="s">
        <v>2</v>
      </c>
      <c r="H241" s="28"/>
      <c r="I241" s="4"/>
      <c r="J241" s="60"/>
      <c r="K241" s="4"/>
      <c r="L241" s="2"/>
      <c r="M241" s="5" t="s">
        <v>2</v>
      </c>
      <c r="N241" s="5" t="s">
        <v>2</v>
      </c>
      <c r="O241" s="5" t="s">
        <v>2</v>
      </c>
      <c r="P241" s="21" t="s">
        <v>2</v>
      </c>
      <c r="Q241" s="26" t="s">
        <v>2</v>
      </c>
    </row>
    <row r="242" spans="2:17" x14ac:dyDescent="0.3">
      <c r="B242" s="7" t="s">
        <v>2744</v>
      </c>
      <c r="C242" s="1" t="s">
        <v>2744</v>
      </c>
      <c r="D242" s="8" t="s">
        <v>2744</v>
      </c>
      <c r="E242" s="1" t="s">
        <v>2744</v>
      </c>
      <c r="F242" s="1" t="s">
        <v>2744</v>
      </c>
      <c r="G242" s="1" t="s">
        <v>2744</v>
      </c>
      <c r="H242" s="1" t="s">
        <v>2744</v>
      </c>
      <c r="I242" s="1" t="s">
        <v>2744</v>
      </c>
      <c r="J242" s="1" t="s">
        <v>2744</v>
      </c>
      <c r="K242" s="1" t="s">
        <v>2744</v>
      </c>
      <c r="L242" s="1" t="s">
        <v>2744</v>
      </c>
      <c r="M242" s="1" t="s">
        <v>2744</v>
      </c>
      <c r="N242" s="1" t="s">
        <v>2744</v>
      </c>
      <c r="O242" s="1" t="s">
        <v>2744</v>
      </c>
      <c r="P242" s="1" t="s">
        <v>2744</v>
      </c>
      <c r="Q242" s="1" t="s">
        <v>2744</v>
      </c>
    </row>
    <row r="243" spans="2:17" ht="42" x14ac:dyDescent="0.3">
      <c r="B243" s="19" t="s">
        <v>1572</v>
      </c>
      <c r="C243" s="17" t="s">
        <v>2999</v>
      </c>
      <c r="D243" s="16"/>
      <c r="E243" s="2"/>
      <c r="F243" s="2"/>
      <c r="G243" s="2"/>
      <c r="H243" s="2"/>
      <c r="I243" s="3">
        <f>SUM(GMIC_22A_SCDPT3!SCDPT3_431BEGINNG_7:GMIC_22A_SCDPT3!SCDPT3_431ENDINGG_7)</f>
        <v>0</v>
      </c>
      <c r="J243" s="2"/>
      <c r="K243" s="3">
        <f>SUM(GMIC_22A_SCDPT3!SCDPT3_431BEGINNG_9:GMIC_22A_SCDPT3!SCDPT3_431ENDINGG_9)</f>
        <v>0</v>
      </c>
      <c r="L243" s="2"/>
      <c r="M243" s="2"/>
      <c r="N243" s="2"/>
      <c r="O243" s="2"/>
      <c r="P243" s="2"/>
      <c r="Q243" s="2"/>
    </row>
    <row r="244" spans="2:17" x14ac:dyDescent="0.3">
      <c r="B244" s="7" t="s">
        <v>2744</v>
      </c>
      <c r="C244" s="1" t="s">
        <v>2744</v>
      </c>
      <c r="D244" s="8" t="s">
        <v>2744</v>
      </c>
      <c r="E244" s="1" t="s">
        <v>2744</v>
      </c>
      <c r="F244" s="1" t="s">
        <v>2744</v>
      </c>
      <c r="G244" s="1" t="s">
        <v>2744</v>
      </c>
      <c r="H244" s="1" t="s">
        <v>2744</v>
      </c>
      <c r="I244" s="1" t="s">
        <v>2744</v>
      </c>
      <c r="J244" s="1" t="s">
        <v>2744</v>
      </c>
      <c r="K244" s="1" t="s">
        <v>2744</v>
      </c>
      <c r="L244" s="1" t="s">
        <v>2744</v>
      </c>
      <c r="M244" s="1" t="s">
        <v>2744</v>
      </c>
      <c r="N244" s="1" t="s">
        <v>2744</v>
      </c>
      <c r="O244" s="1" t="s">
        <v>2744</v>
      </c>
      <c r="P244" s="1" t="s">
        <v>2744</v>
      </c>
      <c r="Q244" s="1" t="s">
        <v>2744</v>
      </c>
    </row>
    <row r="245" spans="2:17" x14ac:dyDescent="0.3">
      <c r="B245" s="18" t="s">
        <v>4116</v>
      </c>
      <c r="C245" s="25" t="s">
        <v>3897</v>
      </c>
      <c r="D245" s="15" t="s">
        <v>2</v>
      </c>
      <c r="E245" s="20" t="s">
        <v>2</v>
      </c>
      <c r="F245" s="6"/>
      <c r="G245" s="5" t="s">
        <v>2</v>
      </c>
      <c r="H245" s="28"/>
      <c r="I245" s="4"/>
      <c r="J245" s="60"/>
      <c r="K245" s="4"/>
      <c r="L245" s="2"/>
      <c r="M245" s="5" t="s">
        <v>2</v>
      </c>
      <c r="N245" s="5" t="s">
        <v>2</v>
      </c>
      <c r="O245" s="5" t="s">
        <v>2</v>
      </c>
      <c r="P245" s="21" t="s">
        <v>2</v>
      </c>
      <c r="Q245" s="26" t="s">
        <v>2</v>
      </c>
    </row>
    <row r="246" spans="2:17" x14ac:dyDescent="0.3">
      <c r="B246" s="7" t="s">
        <v>2744</v>
      </c>
      <c r="C246" s="1" t="s">
        <v>2744</v>
      </c>
      <c r="D246" s="8" t="s">
        <v>2744</v>
      </c>
      <c r="E246" s="1" t="s">
        <v>2744</v>
      </c>
      <c r="F246" s="1" t="s">
        <v>2744</v>
      </c>
      <c r="G246" s="1" t="s">
        <v>2744</v>
      </c>
      <c r="H246" s="1" t="s">
        <v>2744</v>
      </c>
      <c r="I246" s="1" t="s">
        <v>2744</v>
      </c>
      <c r="J246" s="1" t="s">
        <v>2744</v>
      </c>
      <c r="K246" s="1" t="s">
        <v>2744</v>
      </c>
      <c r="L246" s="1" t="s">
        <v>2744</v>
      </c>
      <c r="M246" s="1" t="s">
        <v>2744</v>
      </c>
      <c r="N246" s="1" t="s">
        <v>2744</v>
      </c>
      <c r="O246" s="1" t="s">
        <v>2744</v>
      </c>
      <c r="P246" s="1" t="s">
        <v>2744</v>
      </c>
      <c r="Q246" s="1" t="s">
        <v>2744</v>
      </c>
    </row>
    <row r="247" spans="2:17" ht="56" x14ac:dyDescent="0.3">
      <c r="B247" s="19" t="s">
        <v>701</v>
      </c>
      <c r="C247" s="17" t="s">
        <v>1092</v>
      </c>
      <c r="D247" s="16"/>
      <c r="E247" s="2"/>
      <c r="F247" s="2"/>
      <c r="G247" s="2"/>
      <c r="H247" s="2"/>
      <c r="I247" s="3">
        <f>SUM(GMIC_22A_SCDPT3!SCDPT3_432BEGINNG_7:GMIC_22A_SCDPT3!SCDPT3_432ENDINGG_7)</f>
        <v>0</v>
      </c>
      <c r="J247" s="2"/>
      <c r="K247" s="3">
        <f>SUM(GMIC_22A_SCDPT3!SCDPT3_432BEGINNG_9:GMIC_22A_SCDPT3!SCDPT3_432ENDINGG_9)</f>
        <v>0</v>
      </c>
      <c r="L247" s="2"/>
      <c r="M247" s="2"/>
      <c r="N247" s="2"/>
      <c r="O247" s="2"/>
      <c r="P247" s="2"/>
      <c r="Q247" s="2"/>
    </row>
    <row r="248" spans="2:17" ht="28" x14ac:dyDescent="0.3">
      <c r="B248" s="19" t="s">
        <v>725</v>
      </c>
      <c r="C248" s="17" t="s">
        <v>2212</v>
      </c>
      <c r="D248" s="16"/>
      <c r="E248" s="2"/>
      <c r="F248" s="2"/>
      <c r="G248" s="2"/>
      <c r="H248" s="2"/>
      <c r="I248" s="3">
        <f>GMIC_22A_SCDPT3!SCDPT3_4019999999_7+GMIC_22A_SCDPT3!SCDPT3_4029999999_7+GMIC_22A_SCDPT3!SCDPT3_4319999999_7+GMIC_22A_SCDPT3!SCDPT3_4329999999_7</f>
        <v>0</v>
      </c>
      <c r="J248" s="2"/>
      <c r="K248" s="3">
        <f>GMIC_22A_SCDPT3!SCDPT3_4019999999_9+GMIC_22A_SCDPT3!SCDPT3_4029999999_9+GMIC_22A_SCDPT3!SCDPT3_4319999999_9+GMIC_22A_SCDPT3!SCDPT3_4329999999_9</f>
        <v>0</v>
      </c>
      <c r="L248" s="2"/>
      <c r="M248" s="2"/>
      <c r="N248" s="2"/>
      <c r="O248" s="2"/>
      <c r="P248" s="2"/>
      <c r="Q248" s="2"/>
    </row>
    <row r="249" spans="2:17" ht="28" x14ac:dyDescent="0.3">
      <c r="B249" s="19" t="s">
        <v>1859</v>
      </c>
      <c r="C249" s="17" t="s">
        <v>4486</v>
      </c>
      <c r="D249" s="16"/>
      <c r="E249" s="2"/>
      <c r="F249" s="2"/>
      <c r="G249" s="2"/>
      <c r="H249" s="2"/>
      <c r="I249" s="36"/>
      <c r="J249" s="2"/>
      <c r="K249" s="36"/>
      <c r="L249" s="2"/>
      <c r="M249" s="2"/>
      <c r="N249" s="2"/>
      <c r="O249" s="2"/>
      <c r="P249" s="2"/>
      <c r="Q249" s="2"/>
    </row>
    <row r="250" spans="2:17" x14ac:dyDescent="0.3">
      <c r="B250" s="19" t="s">
        <v>2970</v>
      </c>
      <c r="C250" s="17" t="s">
        <v>3843</v>
      </c>
      <c r="D250" s="16"/>
      <c r="E250" s="2"/>
      <c r="F250" s="2"/>
      <c r="G250" s="2"/>
      <c r="H250" s="2"/>
      <c r="I250" s="3">
        <f>GMIC_22A_SCDPT3!SCDPT3_4509999997_7+GMIC_22A_SCDPT3!SCDPT3_4509999998_7</f>
        <v>0</v>
      </c>
      <c r="J250" s="2"/>
      <c r="K250" s="3">
        <f>GMIC_22A_SCDPT3!SCDPT3_4509999997_9+GMIC_22A_SCDPT3!SCDPT3_4509999998_9</f>
        <v>0</v>
      </c>
      <c r="L250" s="2"/>
      <c r="M250" s="2"/>
      <c r="N250" s="2"/>
      <c r="O250" s="2"/>
      <c r="P250" s="2"/>
      <c r="Q250" s="2"/>
    </row>
    <row r="251" spans="2:17" x14ac:dyDescent="0.3">
      <c r="B251" s="7" t="s">
        <v>2744</v>
      </c>
      <c r="C251" s="1" t="s">
        <v>2744</v>
      </c>
      <c r="D251" s="8" t="s">
        <v>2744</v>
      </c>
      <c r="E251" s="1" t="s">
        <v>2744</v>
      </c>
      <c r="F251" s="1" t="s">
        <v>2744</v>
      </c>
      <c r="G251" s="1" t="s">
        <v>2744</v>
      </c>
      <c r="H251" s="1" t="s">
        <v>2744</v>
      </c>
      <c r="I251" s="1" t="s">
        <v>2744</v>
      </c>
      <c r="J251" s="1" t="s">
        <v>2744</v>
      </c>
      <c r="K251" s="1" t="s">
        <v>2744</v>
      </c>
      <c r="L251" s="1" t="s">
        <v>2744</v>
      </c>
      <c r="M251" s="1" t="s">
        <v>2744</v>
      </c>
      <c r="N251" s="1" t="s">
        <v>2744</v>
      </c>
      <c r="O251" s="1" t="s">
        <v>2744</v>
      </c>
      <c r="P251" s="1" t="s">
        <v>2744</v>
      </c>
      <c r="Q251" s="1" t="s">
        <v>2744</v>
      </c>
    </row>
    <row r="252" spans="2:17" x14ac:dyDescent="0.3">
      <c r="B252" s="18" t="s">
        <v>3844</v>
      </c>
      <c r="C252" s="25" t="s">
        <v>3897</v>
      </c>
      <c r="D252" s="15" t="s">
        <v>2</v>
      </c>
      <c r="E252" s="20" t="s">
        <v>2</v>
      </c>
      <c r="F252" s="6"/>
      <c r="G252" s="5" t="s">
        <v>2</v>
      </c>
      <c r="H252" s="28"/>
      <c r="I252" s="4"/>
      <c r="J252" s="2"/>
      <c r="K252" s="4"/>
      <c r="L252" s="2"/>
      <c r="M252" s="5" t="s">
        <v>2</v>
      </c>
      <c r="N252" s="5" t="s">
        <v>2</v>
      </c>
      <c r="O252" s="5" t="s">
        <v>2</v>
      </c>
      <c r="P252" s="21" t="s">
        <v>2</v>
      </c>
      <c r="Q252" s="26" t="s">
        <v>2</v>
      </c>
    </row>
    <row r="253" spans="2:17" x14ac:dyDescent="0.3">
      <c r="B253" s="7" t="s">
        <v>2744</v>
      </c>
      <c r="C253" s="1" t="s">
        <v>2744</v>
      </c>
      <c r="D253" s="8" t="s">
        <v>2744</v>
      </c>
      <c r="E253" s="1" t="s">
        <v>2744</v>
      </c>
      <c r="F253" s="1" t="s">
        <v>2744</v>
      </c>
      <c r="G253" s="1" t="s">
        <v>2744</v>
      </c>
      <c r="H253" s="1" t="s">
        <v>2744</v>
      </c>
      <c r="I253" s="1" t="s">
        <v>2744</v>
      </c>
      <c r="J253" s="1" t="s">
        <v>2744</v>
      </c>
      <c r="K253" s="1" t="s">
        <v>2744</v>
      </c>
      <c r="L253" s="1" t="s">
        <v>2744</v>
      </c>
      <c r="M253" s="1" t="s">
        <v>2744</v>
      </c>
      <c r="N253" s="1" t="s">
        <v>2744</v>
      </c>
      <c r="O253" s="1" t="s">
        <v>2744</v>
      </c>
      <c r="P253" s="1" t="s">
        <v>2744</v>
      </c>
      <c r="Q253" s="1" t="s">
        <v>2744</v>
      </c>
    </row>
    <row r="254" spans="2:17" ht="42" x14ac:dyDescent="0.3">
      <c r="B254" s="19" t="s">
        <v>452</v>
      </c>
      <c r="C254" s="17" t="s">
        <v>462</v>
      </c>
      <c r="D254" s="16"/>
      <c r="E254" s="2"/>
      <c r="F254" s="2"/>
      <c r="G254" s="2"/>
      <c r="H254" s="2"/>
      <c r="I254" s="3">
        <f>SUM(GMIC_22A_SCDPT3!SCDPT3_501BEGINNG_7:GMIC_22A_SCDPT3!SCDPT3_501ENDINGG_7)</f>
        <v>0</v>
      </c>
      <c r="J254" s="2"/>
      <c r="K254" s="3">
        <f>SUM(GMIC_22A_SCDPT3!SCDPT3_501BEGINNG_9:GMIC_22A_SCDPT3!SCDPT3_501ENDINGG_9)</f>
        <v>0</v>
      </c>
      <c r="L254" s="2"/>
      <c r="M254" s="2"/>
      <c r="N254" s="2"/>
      <c r="O254" s="2"/>
      <c r="P254" s="2"/>
      <c r="Q254" s="2"/>
    </row>
    <row r="255" spans="2:17" x14ac:dyDescent="0.3">
      <c r="B255" s="7" t="s">
        <v>2744</v>
      </c>
      <c r="C255" s="1" t="s">
        <v>2744</v>
      </c>
      <c r="D255" s="8" t="s">
        <v>2744</v>
      </c>
      <c r="E255" s="1" t="s">
        <v>2744</v>
      </c>
      <c r="F255" s="1" t="s">
        <v>2744</v>
      </c>
      <c r="G255" s="1" t="s">
        <v>2744</v>
      </c>
      <c r="H255" s="1" t="s">
        <v>2744</v>
      </c>
      <c r="I255" s="1" t="s">
        <v>2744</v>
      </c>
      <c r="J255" s="1" t="s">
        <v>2744</v>
      </c>
      <c r="K255" s="1" t="s">
        <v>2744</v>
      </c>
      <c r="L255" s="1" t="s">
        <v>2744</v>
      </c>
      <c r="M255" s="1" t="s">
        <v>2744</v>
      </c>
      <c r="N255" s="1" t="s">
        <v>2744</v>
      </c>
      <c r="O255" s="1" t="s">
        <v>2744</v>
      </c>
      <c r="P255" s="1" t="s">
        <v>2744</v>
      </c>
      <c r="Q255" s="1" t="s">
        <v>2744</v>
      </c>
    </row>
    <row r="256" spans="2:17" x14ac:dyDescent="0.3">
      <c r="B256" s="18" t="s">
        <v>2971</v>
      </c>
      <c r="C256" s="25" t="s">
        <v>3897</v>
      </c>
      <c r="D256" s="15" t="s">
        <v>2</v>
      </c>
      <c r="E256" s="20" t="s">
        <v>2</v>
      </c>
      <c r="F256" s="6"/>
      <c r="G256" s="5" t="s">
        <v>2</v>
      </c>
      <c r="H256" s="28"/>
      <c r="I256" s="4"/>
      <c r="J256" s="2"/>
      <c r="K256" s="4"/>
      <c r="L256" s="2"/>
      <c r="M256" s="5" t="s">
        <v>2</v>
      </c>
      <c r="N256" s="5" t="s">
        <v>2</v>
      </c>
      <c r="O256" s="5" t="s">
        <v>2</v>
      </c>
      <c r="P256" s="21" t="s">
        <v>2</v>
      </c>
      <c r="Q256" s="26" t="s">
        <v>2</v>
      </c>
    </row>
    <row r="257" spans="2:17" x14ac:dyDescent="0.3">
      <c r="B257" s="7" t="s">
        <v>2744</v>
      </c>
      <c r="C257" s="1" t="s">
        <v>2744</v>
      </c>
      <c r="D257" s="8" t="s">
        <v>2744</v>
      </c>
      <c r="E257" s="1" t="s">
        <v>2744</v>
      </c>
      <c r="F257" s="1" t="s">
        <v>2744</v>
      </c>
      <c r="G257" s="1" t="s">
        <v>2744</v>
      </c>
      <c r="H257" s="1" t="s">
        <v>2744</v>
      </c>
      <c r="I257" s="1" t="s">
        <v>2744</v>
      </c>
      <c r="J257" s="1" t="s">
        <v>2744</v>
      </c>
      <c r="K257" s="1" t="s">
        <v>2744</v>
      </c>
      <c r="L257" s="1" t="s">
        <v>2744</v>
      </c>
      <c r="M257" s="1" t="s">
        <v>2744</v>
      </c>
      <c r="N257" s="1" t="s">
        <v>2744</v>
      </c>
      <c r="O257" s="1" t="s">
        <v>2744</v>
      </c>
      <c r="P257" s="1" t="s">
        <v>2744</v>
      </c>
      <c r="Q257" s="1" t="s">
        <v>2744</v>
      </c>
    </row>
    <row r="258" spans="2:17" ht="42" x14ac:dyDescent="0.3">
      <c r="B258" s="19" t="s">
        <v>4117</v>
      </c>
      <c r="C258" s="17" t="s">
        <v>3000</v>
      </c>
      <c r="D258" s="16"/>
      <c r="E258" s="2"/>
      <c r="F258" s="2"/>
      <c r="G258" s="2"/>
      <c r="H258" s="2"/>
      <c r="I258" s="3">
        <f>SUM(GMIC_22A_SCDPT3!SCDPT3_502BEGINNG_7:GMIC_22A_SCDPT3!SCDPT3_502ENDINGG_7)</f>
        <v>0</v>
      </c>
      <c r="J258" s="2"/>
      <c r="K258" s="3">
        <f>SUM(GMIC_22A_SCDPT3!SCDPT3_502BEGINNG_9:GMIC_22A_SCDPT3!SCDPT3_502ENDINGG_9)</f>
        <v>0</v>
      </c>
      <c r="L258" s="2"/>
      <c r="M258" s="2"/>
      <c r="N258" s="2"/>
      <c r="O258" s="2"/>
      <c r="P258" s="2"/>
      <c r="Q258" s="2"/>
    </row>
    <row r="259" spans="2:17" x14ac:dyDescent="0.3">
      <c r="B259" s="7" t="s">
        <v>2744</v>
      </c>
      <c r="C259" s="1" t="s">
        <v>2744</v>
      </c>
      <c r="D259" s="8" t="s">
        <v>2744</v>
      </c>
      <c r="E259" s="1" t="s">
        <v>2744</v>
      </c>
      <c r="F259" s="1" t="s">
        <v>2744</v>
      </c>
      <c r="G259" s="1" t="s">
        <v>2744</v>
      </c>
      <c r="H259" s="1" t="s">
        <v>2744</v>
      </c>
      <c r="I259" s="1" t="s">
        <v>2744</v>
      </c>
      <c r="J259" s="1" t="s">
        <v>2744</v>
      </c>
      <c r="K259" s="1" t="s">
        <v>2744</v>
      </c>
      <c r="L259" s="1" t="s">
        <v>2744</v>
      </c>
      <c r="M259" s="1" t="s">
        <v>2744</v>
      </c>
      <c r="N259" s="1" t="s">
        <v>2744</v>
      </c>
      <c r="O259" s="1" t="s">
        <v>2744</v>
      </c>
      <c r="P259" s="1" t="s">
        <v>2744</v>
      </c>
      <c r="Q259" s="1" t="s">
        <v>2744</v>
      </c>
    </row>
    <row r="260" spans="2:17" x14ac:dyDescent="0.3">
      <c r="B260" s="18" t="s">
        <v>198</v>
      </c>
      <c r="C260" s="25" t="s">
        <v>3897</v>
      </c>
      <c r="D260" s="15" t="s">
        <v>2</v>
      </c>
      <c r="E260" s="20" t="s">
        <v>2</v>
      </c>
      <c r="F260" s="6"/>
      <c r="G260" s="5" t="s">
        <v>2</v>
      </c>
      <c r="H260" s="28"/>
      <c r="I260" s="4"/>
      <c r="J260" s="2"/>
      <c r="K260" s="4"/>
      <c r="L260" s="2"/>
      <c r="M260" s="5" t="s">
        <v>2</v>
      </c>
      <c r="N260" s="5" t="s">
        <v>2</v>
      </c>
      <c r="O260" s="5" t="s">
        <v>2</v>
      </c>
      <c r="P260" s="21" t="s">
        <v>2</v>
      </c>
      <c r="Q260" s="26" t="s">
        <v>2</v>
      </c>
    </row>
    <row r="261" spans="2:17" x14ac:dyDescent="0.3">
      <c r="B261" s="7" t="s">
        <v>2744</v>
      </c>
      <c r="C261" s="1" t="s">
        <v>2744</v>
      </c>
      <c r="D261" s="8" t="s">
        <v>2744</v>
      </c>
      <c r="E261" s="1" t="s">
        <v>2744</v>
      </c>
      <c r="F261" s="1" t="s">
        <v>2744</v>
      </c>
      <c r="G261" s="1" t="s">
        <v>2744</v>
      </c>
      <c r="H261" s="1" t="s">
        <v>2744</v>
      </c>
      <c r="I261" s="1" t="s">
        <v>2744</v>
      </c>
      <c r="J261" s="1" t="s">
        <v>2744</v>
      </c>
      <c r="K261" s="1" t="s">
        <v>2744</v>
      </c>
      <c r="L261" s="1" t="s">
        <v>2744</v>
      </c>
      <c r="M261" s="1" t="s">
        <v>2744</v>
      </c>
      <c r="N261" s="1" t="s">
        <v>2744</v>
      </c>
      <c r="O261" s="1" t="s">
        <v>2744</v>
      </c>
      <c r="P261" s="1" t="s">
        <v>2744</v>
      </c>
      <c r="Q261" s="1" t="s">
        <v>2744</v>
      </c>
    </row>
    <row r="262" spans="2:17" ht="42" x14ac:dyDescent="0.3">
      <c r="B262" s="19" t="s">
        <v>1344</v>
      </c>
      <c r="C262" s="17" t="s">
        <v>702</v>
      </c>
      <c r="D262" s="16"/>
      <c r="E262" s="2"/>
      <c r="F262" s="2"/>
      <c r="G262" s="2"/>
      <c r="H262" s="2"/>
      <c r="I262" s="3">
        <f>SUM(GMIC_22A_SCDPT3!SCDPT3_531BEGINNG_7:GMIC_22A_SCDPT3!SCDPT3_531ENDINGG_7)</f>
        <v>0</v>
      </c>
      <c r="J262" s="2"/>
      <c r="K262" s="3">
        <f>SUM(GMIC_22A_SCDPT3!SCDPT3_531BEGINNG_9:GMIC_22A_SCDPT3!SCDPT3_531ENDINGG_9)</f>
        <v>0</v>
      </c>
      <c r="L262" s="2"/>
      <c r="M262" s="2"/>
      <c r="N262" s="2"/>
      <c r="O262" s="2"/>
      <c r="P262" s="2"/>
      <c r="Q262" s="2"/>
    </row>
    <row r="263" spans="2:17" x14ac:dyDescent="0.3">
      <c r="B263" s="7" t="s">
        <v>2744</v>
      </c>
      <c r="C263" s="1" t="s">
        <v>2744</v>
      </c>
      <c r="D263" s="8" t="s">
        <v>2744</v>
      </c>
      <c r="E263" s="1" t="s">
        <v>2744</v>
      </c>
      <c r="F263" s="1" t="s">
        <v>2744</v>
      </c>
      <c r="G263" s="1" t="s">
        <v>2744</v>
      </c>
      <c r="H263" s="1" t="s">
        <v>2744</v>
      </c>
      <c r="I263" s="1" t="s">
        <v>2744</v>
      </c>
      <c r="J263" s="1" t="s">
        <v>2744</v>
      </c>
      <c r="K263" s="1" t="s">
        <v>2744</v>
      </c>
      <c r="L263" s="1" t="s">
        <v>2744</v>
      </c>
      <c r="M263" s="1" t="s">
        <v>2744</v>
      </c>
      <c r="N263" s="1" t="s">
        <v>2744</v>
      </c>
      <c r="O263" s="1" t="s">
        <v>2744</v>
      </c>
      <c r="P263" s="1" t="s">
        <v>2744</v>
      </c>
      <c r="Q263" s="1" t="s">
        <v>2744</v>
      </c>
    </row>
    <row r="264" spans="2:17" x14ac:dyDescent="0.3">
      <c r="B264" s="18" t="s">
        <v>3845</v>
      </c>
      <c r="C264" s="25" t="s">
        <v>3897</v>
      </c>
      <c r="D264" s="15" t="s">
        <v>2</v>
      </c>
      <c r="E264" s="20" t="s">
        <v>2</v>
      </c>
      <c r="F264" s="6"/>
      <c r="G264" s="5" t="s">
        <v>2</v>
      </c>
      <c r="H264" s="28"/>
      <c r="I264" s="4"/>
      <c r="J264" s="2"/>
      <c r="K264" s="4"/>
      <c r="L264" s="2"/>
      <c r="M264" s="5" t="s">
        <v>2</v>
      </c>
      <c r="N264" s="5" t="s">
        <v>2</v>
      </c>
      <c r="O264" s="5" t="s">
        <v>2</v>
      </c>
      <c r="P264" s="21" t="s">
        <v>2</v>
      </c>
      <c r="Q264" s="26" t="s">
        <v>2</v>
      </c>
    </row>
    <row r="265" spans="2:17" x14ac:dyDescent="0.3">
      <c r="B265" s="7" t="s">
        <v>2744</v>
      </c>
      <c r="C265" s="1" t="s">
        <v>2744</v>
      </c>
      <c r="D265" s="8" t="s">
        <v>2744</v>
      </c>
      <c r="E265" s="1" t="s">
        <v>2744</v>
      </c>
      <c r="F265" s="1" t="s">
        <v>2744</v>
      </c>
      <c r="G265" s="1" t="s">
        <v>2744</v>
      </c>
      <c r="H265" s="1" t="s">
        <v>2744</v>
      </c>
      <c r="I265" s="1" t="s">
        <v>2744</v>
      </c>
      <c r="J265" s="1" t="s">
        <v>2744</v>
      </c>
      <c r="K265" s="1" t="s">
        <v>2744</v>
      </c>
      <c r="L265" s="1" t="s">
        <v>2744</v>
      </c>
      <c r="M265" s="1" t="s">
        <v>2744</v>
      </c>
      <c r="N265" s="1" t="s">
        <v>2744</v>
      </c>
      <c r="O265" s="1" t="s">
        <v>2744</v>
      </c>
      <c r="P265" s="1" t="s">
        <v>2744</v>
      </c>
      <c r="Q265" s="1" t="s">
        <v>2744</v>
      </c>
    </row>
    <row r="266" spans="2:17" ht="42" x14ac:dyDescent="0.3">
      <c r="B266" s="19" t="s">
        <v>454</v>
      </c>
      <c r="C266" s="17" t="s">
        <v>3846</v>
      </c>
      <c r="D266" s="16"/>
      <c r="E266" s="2"/>
      <c r="F266" s="2"/>
      <c r="G266" s="2"/>
      <c r="H266" s="2"/>
      <c r="I266" s="3">
        <f>SUM(GMIC_22A_SCDPT3!SCDPT3_532BEGINNG_7:GMIC_22A_SCDPT3!SCDPT3_532ENDINGG_7)</f>
        <v>0</v>
      </c>
      <c r="J266" s="2"/>
      <c r="K266" s="3">
        <f>SUM(GMIC_22A_SCDPT3!SCDPT3_532BEGINNG_9:GMIC_22A_SCDPT3!SCDPT3_532ENDINGG_9)</f>
        <v>0</v>
      </c>
      <c r="L266" s="2"/>
      <c r="M266" s="2"/>
      <c r="N266" s="2"/>
      <c r="O266" s="2"/>
      <c r="P266" s="2"/>
      <c r="Q266" s="2"/>
    </row>
    <row r="267" spans="2:17" x14ac:dyDescent="0.3">
      <c r="B267" s="7" t="s">
        <v>2744</v>
      </c>
      <c r="C267" s="1" t="s">
        <v>2744</v>
      </c>
      <c r="D267" s="8" t="s">
        <v>2744</v>
      </c>
      <c r="E267" s="1" t="s">
        <v>2744</v>
      </c>
      <c r="F267" s="1" t="s">
        <v>2744</v>
      </c>
      <c r="G267" s="1" t="s">
        <v>2744</v>
      </c>
      <c r="H267" s="1" t="s">
        <v>2744</v>
      </c>
      <c r="I267" s="1" t="s">
        <v>2744</v>
      </c>
      <c r="J267" s="1" t="s">
        <v>2744</v>
      </c>
      <c r="K267" s="1" t="s">
        <v>2744</v>
      </c>
      <c r="L267" s="1" t="s">
        <v>2744</v>
      </c>
      <c r="M267" s="1" t="s">
        <v>2744</v>
      </c>
      <c r="N267" s="1" t="s">
        <v>2744</v>
      </c>
      <c r="O267" s="1" t="s">
        <v>2744</v>
      </c>
      <c r="P267" s="1" t="s">
        <v>2744</v>
      </c>
      <c r="Q267" s="1" t="s">
        <v>2744</v>
      </c>
    </row>
    <row r="268" spans="2:17" x14ac:dyDescent="0.3">
      <c r="B268" s="18" t="s">
        <v>703</v>
      </c>
      <c r="C268" s="25" t="s">
        <v>3897</v>
      </c>
      <c r="D268" s="15" t="s">
        <v>2</v>
      </c>
      <c r="E268" s="20" t="s">
        <v>2</v>
      </c>
      <c r="F268" s="6"/>
      <c r="G268" s="5" t="s">
        <v>2</v>
      </c>
      <c r="H268" s="28"/>
      <c r="I268" s="4"/>
      <c r="J268" s="2"/>
      <c r="K268" s="4"/>
      <c r="L268" s="2"/>
      <c r="M268" s="5" t="s">
        <v>2</v>
      </c>
      <c r="N268" s="5" t="s">
        <v>2</v>
      </c>
      <c r="O268" s="5" t="s">
        <v>2</v>
      </c>
      <c r="P268" s="21" t="s">
        <v>2</v>
      </c>
      <c r="Q268" s="26" t="s">
        <v>2</v>
      </c>
    </row>
    <row r="269" spans="2:17" x14ac:dyDescent="0.3">
      <c r="B269" s="7" t="s">
        <v>2744</v>
      </c>
      <c r="C269" s="1" t="s">
        <v>2744</v>
      </c>
      <c r="D269" s="8" t="s">
        <v>2744</v>
      </c>
      <c r="E269" s="1" t="s">
        <v>2744</v>
      </c>
      <c r="F269" s="1" t="s">
        <v>2744</v>
      </c>
      <c r="G269" s="1" t="s">
        <v>2744</v>
      </c>
      <c r="H269" s="1" t="s">
        <v>2744</v>
      </c>
      <c r="I269" s="1" t="s">
        <v>2744</v>
      </c>
      <c r="J269" s="1" t="s">
        <v>2744</v>
      </c>
      <c r="K269" s="1" t="s">
        <v>2744</v>
      </c>
      <c r="L269" s="1" t="s">
        <v>2744</v>
      </c>
      <c r="M269" s="1" t="s">
        <v>2744</v>
      </c>
      <c r="N269" s="1" t="s">
        <v>2744</v>
      </c>
      <c r="O269" s="1" t="s">
        <v>2744</v>
      </c>
      <c r="P269" s="1" t="s">
        <v>2744</v>
      </c>
      <c r="Q269" s="1" t="s">
        <v>2744</v>
      </c>
    </row>
    <row r="270" spans="2:17" ht="56" x14ac:dyDescent="0.3">
      <c r="B270" s="19" t="s">
        <v>1841</v>
      </c>
      <c r="C270" s="17" t="s">
        <v>704</v>
      </c>
      <c r="D270" s="16"/>
      <c r="E270" s="2"/>
      <c r="F270" s="2"/>
      <c r="G270" s="2"/>
      <c r="H270" s="2"/>
      <c r="I270" s="3">
        <f>SUM(GMIC_22A_SCDPT3!SCDPT3_551BEGINNG_7:GMIC_22A_SCDPT3!SCDPT3_551ENDINGG_7)</f>
        <v>0</v>
      </c>
      <c r="J270" s="2"/>
      <c r="K270" s="3">
        <f>SUM(GMIC_22A_SCDPT3!SCDPT3_551BEGINNG_9:GMIC_22A_SCDPT3!SCDPT3_551ENDINGG_9)</f>
        <v>0</v>
      </c>
      <c r="L270" s="2"/>
      <c r="M270" s="2"/>
      <c r="N270" s="2"/>
      <c r="O270" s="2"/>
      <c r="P270" s="2"/>
      <c r="Q270" s="2"/>
    </row>
    <row r="271" spans="2:17" x14ac:dyDescent="0.3">
      <c r="B271" s="7" t="s">
        <v>2744</v>
      </c>
      <c r="C271" s="1" t="s">
        <v>2744</v>
      </c>
      <c r="D271" s="8" t="s">
        <v>2744</v>
      </c>
      <c r="E271" s="1" t="s">
        <v>2744</v>
      </c>
      <c r="F271" s="1" t="s">
        <v>2744</v>
      </c>
      <c r="G271" s="1" t="s">
        <v>2744</v>
      </c>
      <c r="H271" s="1" t="s">
        <v>2744</v>
      </c>
      <c r="I271" s="1" t="s">
        <v>2744</v>
      </c>
      <c r="J271" s="1" t="s">
        <v>2744</v>
      </c>
      <c r="K271" s="1" t="s">
        <v>2744</v>
      </c>
      <c r="L271" s="1" t="s">
        <v>2744</v>
      </c>
      <c r="M271" s="1" t="s">
        <v>2744</v>
      </c>
      <c r="N271" s="1" t="s">
        <v>2744</v>
      </c>
      <c r="O271" s="1" t="s">
        <v>2744</v>
      </c>
      <c r="P271" s="1" t="s">
        <v>2744</v>
      </c>
      <c r="Q271" s="1" t="s">
        <v>2744</v>
      </c>
    </row>
    <row r="272" spans="2:17" x14ac:dyDescent="0.3">
      <c r="B272" s="18" t="s">
        <v>4452</v>
      </c>
      <c r="C272" s="25" t="s">
        <v>3897</v>
      </c>
      <c r="D272" s="15" t="s">
        <v>2</v>
      </c>
      <c r="E272" s="20" t="s">
        <v>2</v>
      </c>
      <c r="F272" s="6"/>
      <c r="G272" s="5" t="s">
        <v>2</v>
      </c>
      <c r="H272" s="28"/>
      <c r="I272" s="4"/>
      <c r="J272" s="2"/>
      <c r="K272" s="4"/>
      <c r="L272" s="2"/>
      <c r="M272" s="5" t="s">
        <v>2</v>
      </c>
      <c r="N272" s="5" t="s">
        <v>2</v>
      </c>
      <c r="O272" s="5" t="s">
        <v>2</v>
      </c>
      <c r="P272" s="21" t="s">
        <v>2</v>
      </c>
      <c r="Q272" s="26" t="s">
        <v>2</v>
      </c>
    </row>
    <row r="273" spans="2:17" x14ac:dyDescent="0.3">
      <c r="B273" s="7" t="s">
        <v>2744</v>
      </c>
      <c r="C273" s="1" t="s">
        <v>2744</v>
      </c>
      <c r="D273" s="8" t="s">
        <v>2744</v>
      </c>
      <c r="E273" s="1" t="s">
        <v>2744</v>
      </c>
      <c r="F273" s="1" t="s">
        <v>2744</v>
      </c>
      <c r="G273" s="1" t="s">
        <v>2744</v>
      </c>
      <c r="H273" s="1" t="s">
        <v>2744</v>
      </c>
      <c r="I273" s="1" t="s">
        <v>2744</v>
      </c>
      <c r="J273" s="1" t="s">
        <v>2744</v>
      </c>
      <c r="K273" s="1" t="s">
        <v>2744</v>
      </c>
      <c r="L273" s="1" t="s">
        <v>2744</v>
      </c>
      <c r="M273" s="1" t="s">
        <v>2744</v>
      </c>
      <c r="N273" s="1" t="s">
        <v>2744</v>
      </c>
      <c r="O273" s="1" t="s">
        <v>2744</v>
      </c>
      <c r="P273" s="1" t="s">
        <v>2744</v>
      </c>
      <c r="Q273" s="1" t="s">
        <v>2744</v>
      </c>
    </row>
    <row r="274" spans="2:17" ht="56" x14ac:dyDescent="0.3">
      <c r="B274" s="19" t="s">
        <v>1053</v>
      </c>
      <c r="C274" s="17" t="s">
        <v>1054</v>
      </c>
      <c r="D274" s="16"/>
      <c r="E274" s="2"/>
      <c r="F274" s="2"/>
      <c r="G274" s="2"/>
      <c r="H274" s="2"/>
      <c r="I274" s="3">
        <f>SUM(GMIC_22A_SCDPT3!SCDPT3_552BEGINNG_7:GMIC_22A_SCDPT3!SCDPT3_552ENDINGG_7)</f>
        <v>0</v>
      </c>
      <c r="J274" s="2"/>
      <c r="K274" s="3">
        <f>SUM(GMIC_22A_SCDPT3!SCDPT3_552BEGINNG_9:GMIC_22A_SCDPT3!SCDPT3_552ENDINGG_9)</f>
        <v>0</v>
      </c>
      <c r="L274" s="2"/>
      <c r="M274" s="2"/>
      <c r="N274" s="2"/>
      <c r="O274" s="2"/>
      <c r="P274" s="2"/>
      <c r="Q274" s="2"/>
    </row>
    <row r="275" spans="2:17" x14ac:dyDescent="0.3">
      <c r="B275" s="7" t="s">
        <v>2744</v>
      </c>
      <c r="C275" s="1" t="s">
        <v>2744</v>
      </c>
      <c r="D275" s="8" t="s">
        <v>2744</v>
      </c>
      <c r="E275" s="1" t="s">
        <v>2744</v>
      </c>
      <c r="F275" s="1" t="s">
        <v>2744</v>
      </c>
      <c r="G275" s="1" t="s">
        <v>2744</v>
      </c>
      <c r="H275" s="1" t="s">
        <v>2744</v>
      </c>
      <c r="I275" s="1" t="s">
        <v>2744</v>
      </c>
      <c r="J275" s="1" t="s">
        <v>2744</v>
      </c>
      <c r="K275" s="1" t="s">
        <v>2744</v>
      </c>
      <c r="L275" s="1" t="s">
        <v>2744</v>
      </c>
      <c r="M275" s="1" t="s">
        <v>2744</v>
      </c>
      <c r="N275" s="1" t="s">
        <v>2744</v>
      </c>
      <c r="O275" s="1" t="s">
        <v>2744</v>
      </c>
      <c r="P275" s="1" t="s">
        <v>2744</v>
      </c>
      <c r="Q275" s="1" t="s">
        <v>2744</v>
      </c>
    </row>
    <row r="276" spans="2:17" x14ac:dyDescent="0.3">
      <c r="B276" s="18" t="s">
        <v>1346</v>
      </c>
      <c r="C276" s="25" t="s">
        <v>3897</v>
      </c>
      <c r="D276" s="15" t="s">
        <v>2</v>
      </c>
      <c r="E276" s="20" t="s">
        <v>2</v>
      </c>
      <c r="F276" s="6"/>
      <c r="G276" s="5" t="s">
        <v>2</v>
      </c>
      <c r="H276" s="28"/>
      <c r="I276" s="4"/>
      <c r="J276" s="2"/>
      <c r="K276" s="4"/>
      <c r="L276" s="2"/>
      <c r="M276" s="5" t="s">
        <v>2</v>
      </c>
      <c r="N276" s="5" t="s">
        <v>2</v>
      </c>
      <c r="O276" s="5" t="s">
        <v>2</v>
      </c>
      <c r="P276" s="21" t="s">
        <v>2</v>
      </c>
      <c r="Q276" s="26" t="s">
        <v>2</v>
      </c>
    </row>
    <row r="277" spans="2:17" x14ac:dyDescent="0.3">
      <c r="B277" s="7" t="s">
        <v>2744</v>
      </c>
      <c r="C277" s="1" t="s">
        <v>2744</v>
      </c>
      <c r="D277" s="8" t="s">
        <v>2744</v>
      </c>
      <c r="E277" s="1" t="s">
        <v>2744</v>
      </c>
      <c r="F277" s="1" t="s">
        <v>2744</v>
      </c>
      <c r="G277" s="1" t="s">
        <v>2744</v>
      </c>
      <c r="H277" s="1" t="s">
        <v>2744</v>
      </c>
      <c r="I277" s="1" t="s">
        <v>2744</v>
      </c>
      <c r="J277" s="1" t="s">
        <v>2744</v>
      </c>
      <c r="K277" s="1" t="s">
        <v>2744</v>
      </c>
      <c r="L277" s="1" t="s">
        <v>2744</v>
      </c>
      <c r="M277" s="1" t="s">
        <v>2744</v>
      </c>
      <c r="N277" s="1" t="s">
        <v>2744</v>
      </c>
      <c r="O277" s="1" t="s">
        <v>2744</v>
      </c>
      <c r="P277" s="1" t="s">
        <v>2744</v>
      </c>
      <c r="Q277" s="1" t="s">
        <v>2744</v>
      </c>
    </row>
    <row r="278" spans="2:17" ht="56" x14ac:dyDescent="0.3">
      <c r="B278" s="19" t="s">
        <v>2474</v>
      </c>
      <c r="C278" s="17" t="s">
        <v>2690</v>
      </c>
      <c r="D278" s="16"/>
      <c r="E278" s="2"/>
      <c r="F278" s="2"/>
      <c r="G278" s="2"/>
      <c r="H278" s="2"/>
      <c r="I278" s="3">
        <f>SUM(GMIC_22A_SCDPT3!SCDPT3_571BEGINNG_7:GMIC_22A_SCDPT3!SCDPT3_571ENDINGG_7)</f>
        <v>0</v>
      </c>
      <c r="J278" s="2"/>
      <c r="K278" s="3">
        <f>SUM(GMIC_22A_SCDPT3!SCDPT3_571BEGINNG_9:GMIC_22A_SCDPT3!SCDPT3_571ENDINGG_9)</f>
        <v>0</v>
      </c>
      <c r="L278" s="2"/>
      <c r="M278" s="2"/>
      <c r="N278" s="2"/>
      <c r="O278" s="2"/>
      <c r="P278" s="2"/>
      <c r="Q278" s="2"/>
    </row>
    <row r="279" spans="2:17" x14ac:dyDescent="0.3">
      <c r="B279" s="7" t="s">
        <v>2744</v>
      </c>
      <c r="C279" s="1" t="s">
        <v>2744</v>
      </c>
      <c r="D279" s="8" t="s">
        <v>2744</v>
      </c>
      <c r="E279" s="1" t="s">
        <v>2744</v>
      </c>
      <c r="F279" s="1" t="s">
        <v>2744</v>
      </c>
      <c r="G279" s="1" t="s">
        <v>2744</v>
      </c>
      <c r="H279" s="1" t="s">
        <v>2744</v>
      </c>
      <c r="I279" s="1" t="s">
        <v>2744</v>
      </c>
      <c r="J279" s="1" t="s">
        <v>2744</v>
      </c>
      <c r="K279" s="1" t="s">
        <v>2744</v>
      </c>
      <c r="L279" s="1" t="s">
        <v>2744</v>
      </c>
      <c r="M279" s="1" t="s">
        <v>2744</v>
      </c>
      <c r="N279" s="1" t="s">
        <v>2744</v>
      </c>
      <c r="O279" s="1" t="s">
        <v>2744</v>
      </c>
      <c r="P279" s="1" t="s">
        <v>2744</v>
      </c>
      <c r="Q279" s="1" t="s">
        <v>2744</v>
      </c>
    </row>
    <row r="280" spans="2:17" x14ac:dyDescent="0.3">
      <c r="B280" s="18" t="s">
        <v>455</v>
      </c>
      <c r="C280" s="25" t="s">
        <v>3897</v>
      </c>
      <c r="D280" s="15" t="s">
        <v>2</v>
      </c>
      <c r="E280" s="20" t="s">
        <v>2</v>
      </c>
      <c r="F280" s="6"/>
      <c r="G280" s="5" t="s">
        <v>2</v>
      </c>
      <c r="H280" s="28"/>
      <c r="I280" s="4"/>
      <c r="J280" s="2"/>
      <c r="K280" s="4"/>
      <c r="L280" s="2"/>
      <c r="M280" s="5" t="s">
        <v>2</v>
      </c>
      <c r="N280" s="5" t="s">
        <v>2</v>
      </c>
      <c r="O280" s="5" t="s">
        <v>2</v>
      </c>
      <c r="P280" s="21" t="s">
        <v>2</v>
      </c>
      <c r="Q280" s="26" t="s">
        <v>2</v>
      </c>
    </row>
    <row r="281" spans="2:17" x14ac:dyDescent="0.3">
      <c r="B281" s="7" t="s">
        <v>2744</v>
      </c>
      <c r="C281" s="1" t="s">
        <v>2744</v>
      </c>
      <c r="D281" s="8" t="s">
        <v>2744</v>
      </c>
      <c r="E281" s="1" t="s">
        <v>2744</v>
      </c>
      <c r="F281" s="1" t="s">
        <v>2744</v>
      </c>
      <c r="G281" s="1" t="s">
        <v>2744</v>
      </c>
      <c r="H281" s="1" t="s">
        <v>2744</v>
      </c>
      <c r="I281" s="1" t="s">
        <v>2744</v>
      </c>
      <c r="J281" s="1" t="s">
        <v>2744</v>
      </c>
      <c r="K281" s="1" t="s">
        <v>2744</v>
      </c>
      <c r="L281" s="1" t="s">
        <v>2744</v>
      </c>
      <c r="M281" s="1" t="s">
        <v>2744</v>
      </c>
      <c r="N281" s="1" t="s">
        <v>2744</v>
      </c>
      <c r="O281" s="1" t="s">
        <v>2744</v>
      </c>
      <c r="P281" s="1" t="s">
        <v>2744</v>
      </c>
      <c r="Q281" s="1" t="s">
        <v>2744</v>
      </c>
    </row>
    <row r="282" spans="2:17" ht="56" x14ac:dyDescent="0.3">
      <c r="B282" s="19" t="s">
        <v>1575</v>
      </c>
      <c r="C282" s="17" t="s">
        <v>3600</v>
      </c>
      <c r="D282" s="16"/>
      <c r="E282" s="2"/>
      <c r="F282" s="2"/>
      <c r="G282" s="2"/>
      <c r="H282" s="2"/>
      <c r="I282" s="3">
        <f>SUM(GMIC_22A_SCDPT3!SCDPT3_572BEGINNG_7:GMIC_22A_SCDPT3!SCDPT3_572ENDINGG_7)</f>
        <v>0</v>
      </c>
      <c r="J282" s="2"/>
      <c r="K282" s="3">
        <f>SUM(GMIC_22A_SCDPT3!SCDPT3_572BEGINNG_9:GMIC_22A_SCDPT3!SCDPT3_572ENDINGG_9)</f>
        <v>0</v>
      </c>
      <c r="L282" s="2"/>
      <c r="M282" s="2"/>
      <c r="N282" s="2"/>
      <c r="O282" s="2"/>
      <c r="P282" s="2"/>
      <c r="Q282" s="2"/>
    </row>
    <row r="283" spans="2:17" x14ac:dyDescent="0.3">
      <c r="B283" s="7" t="s">
        <v>2744</v>
      </c>
      <c r="C283" s="1" t="s">
        <v>2744</v>
      </c>
      <c r="D283" s="8" t="s">
        <v>2744</v>
      </c>
      <c r="E283" s="1" t="s">
        <v>2744</v>
      </c>
      <c r="F283" s="1" t="s">
        <v>2744</v>
      </c>
      <c r="G283" s="1" t="s">
        <v>2744</v>
      </c>
      <c r="H283" s="1" t="s">
        <v>2744</v>
      </c>
      <c r="I283" s="1" t="s">
        <v>2744</v>
      </c>
      <c r="J283" s="1" t="s">
        <v>2744</v>
      </c>
      <c r="K283" s="1" t="s">
        <v>2744</v>
      </c>
      <c r="L283" s="1" t="s">
        <v>2744</v>
      </c>
      <c r="M283" s="1" t="s">
        <v>2744</v>
      </c>
      <c r="N283" s="1" t="s">
        <v>2744</v>
      </c>
      <c r="O283" s="1" t="s">
        <v>2744</v>
      </c>
      <c r="P283" s="1" t="s">
        <v>2744</v>
      </c>
      <c r="Q283" s="1" t="s">
        <v>2744</v>
      </c>
    </row>
    <row r="284" spans="2:17" x14ac:dyDescent="0.3">
      <c r="B284" s="18" t="s">
        <v>1577</v>
      </c>
      <c r="C284" s="25" t="s">
        <v>3897</v>
      </c>
      <c r="D284" s="15" t="s">
        <v>2</v>
      </c>
      <c r="E284" s="20" t="s">
        <v>2</v>
      </c>
      <c r="F284" s="6"/>
      <c r="G284" s="5" t="s">
        <v>2</v>
      </c>
      <c r="H284" s="28"/>
      <c r="I284" s="4"/>
      <c r="J284" s="2"/>
      <c r="K284" s="4"/>
      <c r="L284" s="2"/>
      <c r="M284" s="5" t="s">
        <v>2</v>
      </c>
      <c r="N284" s="5" t="s">
        <v>2</v>
      </c>
      <c r="O284" s="5" t="s">
        <v>2</v>
      </c>
      <c r="P284" s="21" t="s">
        <v>2</v>
      </c>
      <c r="Q284" s="26" t="s">
        <v>2</v>
      </c>
    </row>
    <row r="285" spans="2:17" x14ac:dyDescent="0.3">
      <c r="B285" s="7" t="s">
        <v>2744</v>
      </c>
      <c r="C285" s="1" t="s">
        <v>2744</v>
      </c>
      <c r="D285" s="8" t="s">
        <v>2744</v>
      </c>
      <c r="E285" s="1" t="s">
        <v>2744</v>
      </c>
      <c r="F285" s="1" t="s">
        <v>2744</v>
      </c>
      <c r="G285" s="1" t="s">
        <v>2744</v>
      </c>
      <c r="H285" s="1" t="s">
        <v>2744</v>
      </c>
      <c r="I285" s="1" t="s">
        <v>2744</v>
      </c>
      <c r="J285" s="1" t="s">
        <v>2744</v>
      </c>
      <c r="K285" s="1" t="s">
        <v>2744</v>
      </c>
      <c r="L285" s="1" t="s">
        <v>2744</v>
      </c>
      <c r="M285" s="1" t="s">
        <v>2744</v>
      </c>
      <c r="N285" s="1" t="s">
        <v>2744</v>
      </c>
      <c r="O285" s="1" t="s">
        <v>2744</v>
      </c>
      <c r="P285" s="1" t="s">
        <v>2744</v>
      </c>
      <c r="Q285" s="1" t="s">
        <v>2744</v>
      </c>
    </row>
    <row r="286" spans="2:17" ht="28" x14ac:dyDescent="0.3">
      <c r="B286" s="19" t="s">
        <v>2691</v>
      </c>
      <c r="C286" s="17" t="s">
        <v>199</v>
      </c>
      <c r="D286" s="16"/>
      <c r="E286" s="2"/>
      <c r="F286" s="2"/>
      <c r="G286" s="2"/>
      <c r="H286" s="2"/>
      <c r="I286" s="3">
        <f>SUM(GMIC_22A_SCDPT3!SCDPT3_581BEGINNG_7:GMIC_22A_SCDPT3!SCDPT3_581ENDINGG_7)</f>
        <v>0</v>
      </c>
      <c r="J286" s="2"/>
      <c r="K286" s="3">
        <f>SUM(GMIC_22A_SCDPT3!SCDPT3_581BEGINNG_9:GMIC_22A_SCDPT3!SCDPT3_581ENDINGG_9)</f>
        <v>0</v>
      </c>
      <c r="L286" s="2"/>
      <c r="M286" s="2"/>
      <c r="N286" s="2"/>
      <c r="O286" s="2"/>
      <c r="P286" s="2"/>
      <c r="Q286" s="2"/>
    </row>
    <row r="287" spans="2:17" x14ac:dyDescent="0.3">
      <c r="B287" s="7" t="s">
        <v>2744</v>
      </c>
      <c r="C287" s="1" t="s">
        <v>2744</v>
      </c>
      <c r="D287" s="8" t="s">
        <v>2744</v>
      </c>
      <c r="E287" s="1" t="s">
        <v>2744</v>
      </c>
      <c r="F287" s="1" t="s">
        <v>2744</v>
      </c>
      <c r="G287" s="1" t="s">
        <v>2744</v>
      </c>
      <c r="H287" s="1" t="s">
        <v>2744</v>
      </c>
      <c r="I287" s="1" t="s">
        <v>2744</v>
      </c>
      <c r="J287" s="1" t="s">
        <v>2744</v>
      </c>
      <c r="K287" s="1" t="s">
        <v>2744</v>
      </c>
      <c r="L287" s="1" t="s">
        <v>2744</v>
      </c>
      <c r="M287" s="1" t="s">
        <v>2744</v>
      </c>
      <c r="N287" s="1" t="s">
        <v>2744</v>
      </c>
      <c r="O287" s="1" t="s">
        <v>2744</v>
      </c>
      <c r="P287" s="1" t="s">
        <v>2744</v>
      </c>
      <c r="Q287" s="1" t="s">
        <v>2744</v>
      </c>
    </row>
    <row r="288" spans="2:17" x14ac:dyDescent="0.3">
      <c r="B288" s="18" t="s">
        <v>1842</v>
      </c>
      <c r="C288" s="25" t="s">
        <v>3897</v>
      </c>
      <c r="D288" s="15" t="s">
        <v>2</v>
      </c>
      <c r="E288" s="20" t="s">
        <v>2</v>
      </c>
      <c r="F288" s="6"/>
      <c r="G288" s="5" t="s">
        <v>2</v>
      </c>
      <c r="H288" s="28"/>
      <c r="I288" s="4"/>
      <c r="J288" s="2"/>
      <c r="K288" s="4"/>
      <c r="L288" s="2"/>
      <c r="M288" s="5" t="s">
        <v>2</v>
      </c>
      <c r="N288" s="5" t="s">
        <v>2</v>
      </c>
      <c r="O288" s="5" t="s">
        <v>2</v>
      </c>
      <c r="P288" s="21" t="s">
        <v>2</v>
      </c>
      <c r="Q288" s="26" t="s">
        <v>2</v>
      </c>
    </row>
    <row r="289" spans="2:17" x14ac:dyDescent="0.3">
      <c r="B289" s="7" t="s">
        <v>2744</v>
      </c>
      <c r="C289" s="1" t="s">
        <v>2744</v>
      </c>
      <c r="D289" s="8" t="s">
        <v>2744</v>
      </c>
      <c r="E289" s="1" t="s">
        <v>2744</v>
      </c>
      <c r="F289" s="1" t="s">
        <v>2744</v>
      </c>
      <c r="G289" s="1" t="s">
        <v>2744</v>
      </c>
      <c r="H289" s="1" t="s">
        <v>2744</v>
      </c>
      <c r="I289" s="1" t="s">
        <v>2744</v>
      </c>
      <c r="J289" s="1" t="s">
        <v>2744</v>
      </c>
      <c r="K289" s="1" t="s">
        <v>2744</v>
      </c>
      <c r="L289" s="1" t="s">
        <v>2744</v>
      </c>
      <c r="M289" s="1" t="s">
        <v>2744</v>
      </c>
      <c r="N289" s="1" t="s">
        <v>2744</v>
      </c>
      <c r="O289" s="1" t="s">
        <v>2744</v>
      </c>
      <c r="P289" s="1" t="s">
        <v>2744</v>
      </c>
      <c r="Q289" s="1" t="s">
        <v>2744</v>
      </c>
    </row>
    <row r="290" spans="2:17" ht="42" x14ac:dyDescent="0.3">
      <c r="B290" s="19" t="s">
        <v>2976</v>
      </c>
      <c r="C290" s="17" t="s">
        <v>3001</v>
      </c>
      <c r="D290" s="16"/>
      <c r="E290" s="2"/>
      <c r="F290" s="2"/>
      <c r="G290" s="2"/>
      <c r="H290" s="2"/>
      <c r="I290" s="3">
        <f>SUM(GMIC_22A_SCDPT3!SCDPT3_591BEGINNG_7:GMIC_22A_SCDPT3!SCDPT3_591ENDINGG_7)</f>
        <v>0</v>
      </c>
      <c r="J290" s="2"/>
      <c r="K290" s="3">
        <f>SUM(GMIC_22A_SCDPT3!SCDPT3_591BEGINNG_9:GMIC_22A_SCDPT3!SCDPT3_591ENDINGG_9)</f>
        <v>0</v>
      </c>
      <c r="L290" s="2"/>
      <c r="M290" s="2"/>
      <c r="N290" s="2"/>
      <c r="O290" s="2"/>
      <c r="P290" s="2"/>
      <c r="Q290" s="2"/>
    </row>
    <row r="291" spans="2:17" x14ac:dyDescent="0.3">
      <c r="B291" s="7" t="s">
        <v>2744</v>
      </c>
      <c r="C291" s="1" t="s">
        <v>2744</v>
      </c>
      <c r="D291" s="8" t="s">
        <v>2744</v>
      </c>
      <c r="E291" s="1" t="s">
        <v>2744</v>
      </c>
      <c r="F291" s="1" t="s">
        <v>2744</v>
      </c>
      <c r="G291" s="1" t="s">
        <v>2744</v>
      </c>
      <c r="H291" s="1" t="s">
        <v>2744</v>
      </c>
      <c r="I291" s="1" t="s">
        <v>2744</v>
      </c>
      <c r="J291" s="1" t="s">
        <v>2744</v>
      </c>
      <c r="K291" s="1" t="s">
        <v>2744</v>
      </c>
      <c r="L291" s="1" t="s">
        <v>2744</v>
      </c>
      <c r="M291" s="1" t="s">
        <v>2744</v>
      </c>
      <c r="N291" s="1" t="s">
        <v>2744</v>
      </c>
      <c r="O291" s="1" t="s">
        <v>2744</v>
      </c>
      <c r="P291" s="1" t="s">
        <v>2744</v>
      </c>
      <c r="Q291" s="1" t="s">
        <v>2744</v>
      </c>
    </row>
    <row r="292" spans="2:17" x14ac:dyDescent="0.3">
      <c r="B292" s="18" t="s">
        <v>1093</v>
      </c>
      <c r="C292" s="25" t="s">
        <v>3897</v>
      </c>
      <c r="D292" s="15" t="s">
        <v>2</v>
      </c>
      <c r="E292" s="20" t="s">
        <v>2</v>
      </c>
      <c r="F292" s="6"/>
      <c r="G292" s="5" t="s">
        <v>2</v>
      </c>
      <c r="H292" s="28"/>
      <c r="I292" s="4"/>
      <c r="J292" s="2"/>
      <c r="K292" s="4"/>
      <c r="L292" s="2"/>
      <c r="M292" s="5" t="s">
        <v>2</v>
      </c>
      <c r="N292" s="5" t="s">
        <v>2</v>
      </c>
      <c r="O292" s="5" t="s">
        <v>2</v>
      </c>
      <c r="P292" s="21" t="s">
        <v>2</v>
      </c>
      <c r="Q292" s="26" t="s">
        <v>2</v>
      </c>
    </row>
    <row r="293" spans="2:17" x14ac:dyDescent="0.3">
      <c r="B293" s="7" t="s">
        <v>2744</v>
      </c>
      <c r="C293" s="1" t="s">
        <v>2744</v>
      </c>
      <c r="D293" s="8" t="s">
        <v>2744</v>
      </c>
      <c r="E293" s="1" t="s">
        <v>2744</v>
      </c>
      <c r="F293" s="1" t="s">
        <v>2744</v>
      </c>
      <c r="G293" s="1" t="s">
        <v>2744</v>
      </c>
      <c r="H293" s="1" t="s">
        <v>2744</v>
      </c>
      <c r="I293" s="1" t="s">
        <v>2744</v>
      </c>
      <c r="J293" s="1" t="s">
        <v>2744</v>
      </c>
      <c r="K293" s="1" t="s">
        <v>2744</v>
      </c>
      <c r="L293" s="1" t="s">
        <v>2744</v>
      </c>
      <c r="M293" s="1" t="s">
        <v>2744</v>
      </c>
      <c r="N293" s="1" t="s">
        <v>2744</v>
      </c>
      <c r="O293" s="1" t="s">
        <v>2744</v>
      </c>
      <c r="P293" s="1" t="s">
        <v>2744</v>
      </c>
      <c r="Q293" s="1" t="s">
        <v>2744</v>
      </c>
    </row>
    <row r="294" spans="2:17" ht="42" x14ac:dyDescent="0.3">
      <c r="B294" s="19" t="s">
        <v>2174</v>
      </c>
      <c r="C294" s="17" t="s">
        <v>3611</v>
      </c>
      <c r="D294" s="16"/>
      <c r="E294" s="2"/>
      <c r="F294" s="2"/>
      <c r="G294" s="2"/>
      <c r="H294" s="2"/>
      <c r="I294" s="3">
        <f>SUM(GMIC_22A_SCDPT3!SCDPT3_592BEGINNG_7:GMIC_22A_SCDPT3!SCDPT3_592ENDINGG_7)</f>
        <v>0</v>
      </c>
      <c r="J294" s="2"/>
      <c r="K294" s="3">
        <f>SUM(GMIC_22A_SCDPT3!SCDPT3_592BEGINNG_9:GMIC_22A_SCDPT3!SCDPT3_592ENDINGG_9)</f>
        <v>0</v>
      </c>
      <c r="L294" s="2"/>
      <c r="M294" s="2"/>
      <c r="N294" s="2"/>
      <c r="O294" s="2"/>
      <c r="P294" s="2"/>
      <c r="Q294" s="2"/>
    </row>
    <row r="295" spans="2:17" ht="28" x14ac:dyDescent="0.3">
      <c r="B295" s="19" t="s">
        <v>3855</v>
      </c>
      <c r="C295" s="17" t="s">
        <v>2489</v>
      </c>
      <c r="D295" s="16"/>
      <c r="E295" s="2"/>
      <c r="F295" s="2"/>
      <c r="G295" s="2"/>
      <c r="H295" s="2"/>
      <c r="I295" s="3">
        <f>GMIC_22A_SCDPT3!SCDPT3_5019999999_7+GMIC_22A_SCDPT3!SCDPT3_5029999999_7+GMIC_22A_SCDPT3!SCDPT3_5319999999_7+GMIC_22A_SCDPT3!SCDPT3_5329999999_7+GMIC_22A_SCDPT3!SCDPT3_5519999999_7+GMIC_22A_SCDPT3!SCDPT3_5529999999_7+GMIC_22A_SCDPT3!SCDPT3_5719999999_7+GMIC_22A_SCDPT3!SCDPT3_5729999999_7+GMIC_22A_SCDPT3!SCDPT3_5819999999_7+GMIC_22A_SCDPT3!SCDPT3_5919999999_7+GMIC_22A_SCDPT3!SCDPT3_5929999999_7</f>
        <v>0</v>
      </c>
      <c r="J295" s="2"/>
      <c r="K295" s="3">
        <f>GMIC_22A_SCDPT3!SCDPT3_5019999999_9+GMIC_22A_SCDPT3!SCDPT3_5029999999_9+GMIC_22A_SCDPT3!SCDPT3_5319999999_9+GMIC_22A_SCDPT3!SCDPT3_5329999999_9+GMIC_22A_SCDPT3!SCDPT3_5519999999_9+GMIC_22A_SCDPT3!SCDPT3_5529999999_9+GMIC_22A_SCDPT3!SCDPT3_5719999999_9+GMIC_22A_SCDPT3!SCDPT3_5729999999_9+GMIC_22A_SCDPT3!SCDPT3_5819999999_9+GMIC_22A_SCDPT3!SCDPT3_5919999999_9+GMIC_22A_SCDPT3!SCDPT3_5929999999_9</f>
        <v>0</v>
      </c>
      <c r="L295" s="2"/>
      <c r="M295" s="2"/>
      <c r="N295" s="2"/>
      <c r="O295" s="2"/>
      <c r="P295" s="2"/>
      <c r="Q295" s="2"/>
    </row>
    <row r="296" spans="2:17" ht="28" x14ac:dyDescent="0.3">
      <c r="B296" s="19" t="s">
        <v>463</v>
      </c>
      <c r="C296" s="17" t="s">
        <v>212</v>
      </c>
      <c r="D296" s="16"/>
      <c r="E296" s="2"/>
      <c r="F296" s="2"/>
      <c r="G296" s="2"/>
      <c r="H296" s="2"/>
      <c r="I296" s="36"/>
      <c r="J296" s="2"/>
      <c r="K296" s="36"/>
      <c r="L296" s="2"/>
      <c r="M296" s="2"/>
      <c r="N296" s="2"/>
      <c r="O296" s="2"/>
      <c r="P296" s="2"/>
      <c r="Q296" s="2"/>
    </row>
    <row r="297" spans="2:17" x14ac:dyDescent="0.3">
      <c r="B297" s="19" t="s">
        <v>1579</v>
      </c>
      <c r="C297" s="17" t="s">
        <v>4138</v>
      </c>
      <c r="D297" s="16"/>
      <c r="E297" s="2"/>
      <c r="F297" s="2"/>
      <c r="G297" s="2"/>
      <c r="H297" s="2"/>
      <c r="I297" s="3">
        <f>GMIC_22A_SCDPT3!SCDPT3_5989999997_7+GMIC_22A_SCDPT3!SCDPT3_5989999998_7</f>
        <v>0</v>
      </c>
      <c r="J297" s="2"/>
      <c r="K297" s="3">
        <f>GMIC_22A_SCDPT3!SCDPT3_5989999997_9+GMIC_22A_SCDPT3!SCDPT3_5989999998_9</f>
        <v>0</v>
      </c>
      <c r="L297" s="2"/>
      <c r="M297" s="2"/>
      <c r="N297" s="2"/>
      <c r="O297" s="2"/>
      <c r="P297" s="2"/>
      <c r="Q297" s="2"/>
    </row>
    <row r="298" spans="2:17" ht="28" x14ac:dyDescent="0.3">
      <c r="B298" s="19" t="s">
        <v>705</v>
      </c>
      <c r="C298" s="17" t="s">
        <v>1094</v>
      </c>
      <c r="D298" s="16"/>
      <c r="E298" s="2"/>
      <c r="F298" s="2"/>
      <c r="G298" s="2"/>
      <c r="H298" s="2"/>
      <c r="I298" s="3">
        <f>GMIC_22A_SCDPT3!SCDPT3_4509999999_7+GMIC_22A_SCDPT3!SCDPT3_5989999999_7</f>
        <v>0</v>
      </c>
      <c r="J298" s="2"/>
      <c r="K298" s="3">
        <f>GMIC_22A_SCDPT3!SCDPT3_4509999999_9+GMIC_22A_SCDPT3!SCDPT3_5989999999_9</f>
        <v>0</v>
      </c>
      <c r="L298" s="2"/>
      <c r="M298" s="2"/>
      <c r="N298" s="2"/>
      <c r="O298" s="2"/>
      <c r="P298" s="2"/>
      <c r="Q298" s="2"/>
    </row>
    <row r="299" spans="2:17" x14ac:dyDescent="0.3">
      <c r="B299" s="61" t="s">
        <v>1095</v>
      </c>
      <c r="C299" s="56" t="s">
        <v>464</v>
      </c>
      <c r="D299" s="65"/>
      <c r="E299" s="27"/>
      <c r="F299" s="27"/>
      <c r="G299" s="27"/>
      <c r="H299" s="27"/>
      <c r="I299" s="30">
        <f>GMIC_22A_SCDPT3!SCDPT3_2509999999_7+GMIC_22A_SCDPT3!SCDPT3_4509999999_7+GMIC_22A_SCDPT3!SCDPT3_5989999999_7</f>
        <v>1004666674</v>
      </c>
      <c r="J299" s="27"/>
      <c r="K299" s="30">
        <f>GMIC_22A_SCDPT3!SCDPT3_2509999999_9+GMIC_22A_SCDPT3!SCDPT3_4509999999_9+GMIC_22A_SCDPT3!SCDPT3_5989999999_9</f>
        <v>1589472</v>
      </c>
      <c r="L299" s="27"/>
      <c r="M299" s="27"/>
      <c r="N299" s="27"/>
      <c r="O299" s="27"/>
      <c r="P299" s="27"/>
      <c r="Q299" s="27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&amp;CSCDPT3SCDPT3</oddHeader>
    <oddFooter>&amp;LWing Application : &amp;R SaveAs(3/3/2023-8:37 AM)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C416"/>
  <sheetViews>
    <sheetView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5" width="63.75" customWidth="1"/>
    <col min="6" max="6" width="10.75" customWidth="1"/>
    <col min="7" max="7" width="25.75" customWidth="1"/>
    <col min="8" max="8" width="12.75" customWidth="1"/>
    <col min="9" max="22" width="14.75" customWidth="1"/>
    <col min="23" max="23" width="10.75" customWidth="1"/>
    <col min="24" max="24" width="12.75" customWidth="1"/>
    <col min="25" max="25" width="20.75" customWidth="1"/>
    <col min="26" max="27" width="25.75" customWidth="1"/>
    <col min="28" max="28" width="10.75" customWidth="1"/>
    <col min="29" max="29" width="25.75" customWidth="1"/>
  </cols>
  <sheetData>
    <row r="1" spans="2:29" x14ac:dyDescent="0.3">
      <c r="C1" s="35" t="s">
        <v>1614</v>
      </c>
      <c r="D1" s="35" t="s">
        <v>1158</v>
      </c>
      <c r="E1" s="35" t="s">
        <v>1615</v>
      </c>
      <c r="F1" s="35" t="s">
        <v>264</v>
      </c>
    </row>
    <row r="2" spans="2:29" x14ac:dyDescent="0.3">
      <c r="B2" s="57"/>
      <c r="C2" s="44" t="str">
        <f>GMIC_22A_SCDPT1!Wings_Company_ID</f>
        <v>GMIC</v>
      </c>
      <c r="D2" s="44" t="str">
        <f>GMIC_22A_SCDPT1!Wings_Statement_ID</f>
        <v>22A</v>
      </c>
      <c r="E2" s="42" t="s">
        <v>726</v>
      </c>
      <c r="F2" s="42" t="s">
        <v>727</v>
      </c>
      <c r="W2" s="81"/>
    </row>
    <row r="3" spans="2:29" ht="40" customHeight="1" x14ac:dyDescent="0.3">
      <c r="B3" s="62" t="s">
        <v>265</v>
      </c>
      <c r="C3" s="11"/>
      <c r="D3" s="11"/>
      <c r="E3" s="11"/>
      <c r="F3" s="75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75"/>
      <c r="X3" s="11"/>
      <c r="Y3" s="11"/>
      <c r="Z3" s="11"/>
      <c r="AA3" s="11"/>
      <c r="AB3" s="11"/>
      <c r="AC3" s="11"/>
    </row>
    <row r="4" spans="2:29" ht="40" customHeight="1" x14ac:dyDescent="0.4">
      <c r="B4" s="63" t="s">
        <v>3612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2:29" x14ac:dyDescent="0.3">
      <c r="B5" s="59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  <c r="O5" s="12">
        <v>13</v>
      </c>
      <c r="P5" s="12">
        <v>14</v>
      </c>
      <c r="Q5" s="12">
        <v>15</v>
      </c>
      <c r="R5" s="12">
        <v>16</v>
      </c>
      <c r="S5" s="12">
        <v>17</v>
      </c>
      <c r="T5" s="12">
        <v>18</v>
      </c>
      <c r="U5" s="12">
        <v>19</v>
      </c>
      <c r="V5" s="12">
        <v>20</v>
      </c>
      <c r="W5" s="12">
        <v>21</v>
      </c>
      <c r="X5" s="12">
        <v>22</v>
      </c>
      <c r="Y5" s="12">
        <v>23</v>
      </c>
      <c r="Z5" s="12">
        <v>24</v>
      </c>
      <c r="AA5" s="12">
        <v>25</v>
      </c>
      <c r="AB5" s="12">
        <v>26</v>
      </c>
      <c r="AC5" s="12">
        <v>27</v>
      </c>
    </row>
    <row r="6" spans="2:29" ht="46.5" x14ac:dyDescent="0.3">
      <c r="B6" s="58"/>
      <c r="C6" s="13" t="s">
        <v>3889</v>
      </c>
      <c r="D6" s="13" t="s">
        <v>1912</v>
      </c>
      <c r="E6" s="13" t="s">
        <v>3405</v>
      </c>
      <c r="F6" s="13" t="s">
        <v>2213</v>
      </c>
      <c r="G6" s="13" t="s">
        <v>4139</v>
      </c>
      <c r="H6" s="13" t="s">
        <v>1844</v>
      </c>
      <c r="I6" s="13" t="s">
        <v>2214</v>
      </c>
      <c r="J6" s="13" t="s">
        <v>1618</v>
      </c>
      <c r="K6" s="13" t="s">
        <v>1401</v>
      </c>
      <c r="L6" s="13" t="s">
        <v>2697</v>
      </c>
      <c r="M6" s="13" t="s">
        <v>781</v>
      </c>
      <c r="N6" s="13" t="s">
        <v>2528</v>
      </c>
      <c r="O6" s="13" t="s">
        <v>2743</v>
      </c>
      <c r="P6" s="13" t="s">
        <v>1860</v>
      </c>
      <c r="Q6" s="13" t="s">
        <v>465</v>
      </c>
      <c r="R6" s="13" t="s">
        <v>2698</v>
      </c>
      <c r="S6" s="13" t="s">
        <v>3002</v>
      </c>
      <c r="T6" s="13" t="s">
        <v>728</v>
      </c>
      <c r="U6" s="13" t="s">
        <v>729</v>
      </c>
      <c r="V6" s="13" t="s">
        <v>3347</v>
      </c>
      <c r="W6" s="13" t="s">
        <v>783</v>
      </c>
      <c r="X6" s="13" t="s">
        <v>503</v>
      </c>
      <c r="Y6" s="13" t="s">
        <v>3407</v>
      </c>
      <c r="Z6" s="13" t="s">
        <v>3050</v>
      </c>
      <c r="AA6" s="13" t="s">
        <v>504</v>
      </c>
      <c r="AB6" s="13" t="s">
        <v>2531</v>
      </c>
      <c r="AC6" s="13" t="s">
        <v>1159</v>
      </c>
    </row>
    <row r="7" spans="2:29" x14ac:dyDescent="0.3">
      <c r="B7" s="7" t="s">
        <v>2744</v>
      </c>
      <c r="C7" s="1" t="s">
        <v>2744</v>
      </c>
      <c r="D7" s="8" t="s">
        <v>2744</v>
      </c>
      <c r="E7" s="1" t="s">
        <v>2744</v>
      </c>
      <c r="F7" s="22" t="s">
        <v>2744</v>
      </c>
      <c r="G7" s="1" t="s">
        <v>2744</v>
      </c>
      <c r="H7" s="1" t="s">
        <v>2744</v>
      </c>
      <c r="I7" s="1" t="s">
        <v>2744</v>
      </c>
      <c r="J7" s="1" t="s">
        <v>2744</v>
      </c>
      <c r="K7" s="1" t="s">
        <v>2744</v>
      </c>
      <c r="L7" s="1" t="s">
        <v>2744</v>
      </c>
      <c r="M7" s="1" t="s">
        <v>2744</v>
      </c>
      <c r="N7" s="1" t="s">
        <v>2744</v>
      </c>
      <c r="O7" s="1" t="s">
        <v>2744</v>
      </c>
      <c r="P7" s="1" t="s">
        <v>2744</v>
      </c>
      <c r="Q7" s="1" t="s">
        <v>2744</v>
      </c>
      <c r="R7" s="1" t="s">
        <v>2744</v>
      </c>
      <c r="S7" s="1" t="s">
        <v>2744</v>
      </c>
      <c r="T7" s="1" t="s">
        <v>2744</v>
      </c>
      <c r="U7" s="1" t="s">
        <v>2744</v>
      </c>
      <c r="V7" s="1" t="s">
        <v>2744</v>
      </c>
      <c r="W7" s="22" t="s">
        <v>2744</v>
      </c>
      <c r="X7" s="1" t="s">
        <v>2744</v>
      </c>
      <c r="Y7" s="1" t="s">
        <v>2744</v>
      </c>
      <c r="Z7" s="1" t="s">
        <v>2744</v>
      </c>
      <c r="AA7" s="1" t="s">
        <v>2744</v>
      </c>
      <c r="AB7" s="1" t="s">
        <v>2744</v>
      </c>
      <c r="AC7" s="1" t="s">
        <v>2744</v>
      </c>
    </row>
    <row r="8" spans="2:29" x14ac:dyDescent="0.3">
      <c r="B8" s="18" t="s">
        <v>3348</v>
      </c>
      <c r="C8" s="47" t="s">
        <v>1096</v>
      </c>
      <c r="D8" s="15" t="s">
        <v>2535</v>
      </c>
      <c r="E8" s="20" t="s">
        <v>2</v>
      </c>
      <c r="F8" s="9">
        <v>44773</v>
      </c>
      <c r="G8" s="5" t="s">
        <v>730</v>
      </c>
      <c r="H8" s="2"/>
      <c r="I8" s="4">
        <v>2980000</v>
      </c>
      <c r="J8" s="4">
        <v>2980000</v>
      </c>
      <c r="K8" s="4">
        <v>2996646</v>
      </c>
      <c r="L8" s="4">
        <v>2982032</v>
      </c>
      <c r="M8" s="4">
        <v>0</v>
      </c>
      <c r="N8" s="4">
        <v>-2032</v>
      </c>
      <c r="O8" s="4">
        <v>0</v>
      </c>
      <c r="P8" s="3">
        <f>GMIC_22A_SCDPT4!SCDPT4_0100000001_11+GMIC_22A_SCDPT4!SCDPT4_0100000001_12-GMIC_22A_SCDPT4!SCDPT4_0100000001_13</f>
        <v>-2032</v>
      </c>
      <c r="Q8" s="4">
        <v>0</v>
      </c>
      <c r="R8" s="4">
        <v>2980000</v>
      </c>
      <c r="S8" s="4">
        <v>0</v>
      </c>
      <c r="T8" s="4">
        <v>0</v>
      </c>
      <c r="U8" s="3">
        <f>GMIC_22A_SCDPT4!SCDPT4_0100000001_17+GMIC_22A_SCDPT4!SCDPT4_0100000001_18</f>
        <v>0</v>
      </c>
      <c r="V8" s="4">
        <v>55875</v>
      </c>
      <c r="W8" s="9">
        <v>44773</v>
      </c>
      <c r="X8" s="2"/>
      <c r="Y8" s="5" t="s">
        <v>2</v>
      </c>
      <c r="Z8" s="5" t="s">
        <v>3893</v>
      </c>
      <c r="AA8" s="5" t="s">
        <v>3649</v>
      </c>
      <c r="AB8" s="21" t="s">
        <v>2</v>
      </c>
      <c r="AC8" s="26" t="s">
        <v>4179</v>
      </c>
    </row>
    <row r="9" spans="2:29" x14ac:dyDescent="0.3">
      <c r="B9" s="18" t="s">
        <v>4487</v>
      </c>
      <c r="C9" s="47" t="s">
        <v>1361</v>
      </c>
      <c r="D9" s="15" t="s">
        <v>2535</v>
      </c>
      <c r="E9" s="55" t="s">
        <v>2</v>
      </c>
      <c r="F9" s="14">
        <v>44742</v>
      </c>
      <c r="G9" s="5" t="s">
        <v>730</v>
      </c>
      <c r="H9" s="2"/>
      <c r="I9" s="4">
        <v>5000000</v>
      </c>
      <c r="J9" s="4">
        <v>5000000</v>
      </c>
      <c r="K9" s="4">
        <v>4958203</v>
      </c>
      <c r="L9" s="4">
        <v>4995417</v>
      </c>
      <c r="M9" s="4">
        <v>0</v>
      </c>
      <c r="N9" s="4">
        <v>4583</v>
      </c>
      <c r="O9" s="4">
        <v>0</v>
      </c>
      <c r="P9" s="24">
        <v>4583</v>
      </c>
      <c r="Q9" s="4">
        <v>0</v>
      </c>
      <c r="R9" s="4">
        <v>5000000</v>
      </c>
      <c r="S9" s="4">
        <v>0</v>
      </c>
      <c r="T9" s="4">
        <v>0</v>
      </c>
      <c r="U9" s="24">
        <v>0</v>
      </c>
      <c r="V9" s="4">
        <v>43750</v>
      </c>
      <c r="W9" s="14">
        <v>44742</v>
      </c>
      <c r="X9" s="2"/>
      <c r="Y9" s="5" t="s">
        <v>2</v>
      </c>
      <c r="Z9" s="5" t="s">
        <v>3893</v>
      </c>
      <c r="AA9" s="5" t="s">
        <v>3649</v>
      </c>
      <c r="AB9" s="21" t="s">
        <v>2</v>
      </c>
      <c r="AC9" s="54" t="s">
        <v>4179</v>
      </c>
    </row>
    <row r="10" spans="2:29" x14ac:dyDescent="0.3">
      <c r="B10" s="7" t="s">
        <v>2744</v>
      </c>
      <c r="C10" s="1" t="s">
        <v>2744</v>
      </c>
      <c r="D10" s="8" t="s">
        <v>2744</v>
      </c>
      <c r="E10" s="1" t="s">
        <v>2744</v>
      </c>
      <c r="F10" s="22" t="s">
        <v>2744</v>
      </c>
      <c r="G10" s="1" t="s">
        <v>2744</v>
      </c>
      <c r="H10" s="1" t="s">
        <v>2744</v>
      </c>
      <c r="I10" s="1" t="s">
        <v>2744</v>
      </c>
      <c r="J10" s="1" t="s">
        <v>2744</v>
      </c>
      <c r="K10" s="1" t="s">
        <v>2744</v>
      </c>
      <c r="L10" s="1" t="s">
        <v>2744</v>
      </c>
      <c r="M10" s="1" t="s">
        <v>2744</v>
      </c>
      <c r="N10" s="1" t="s">
        <v>2744</v>
      </c>
      <c r="O10" s="1" t="s">
        <v>2744</v>
      </c>
      <c r="P10" s="1" t="s">
        <v>2744</v>
      </c>
      <c r="Q10" s="1" t="s">
        <v>2744</v>
      </c>
      <c r="R10" s="1" t="s">
        <v>2744</v>
      </c>
      <c r="S10" s="1" t="s">
        <v>2744</v>
      </c>
      <c r="T10" s="1" t="s">
        <v>2744</v>
      </c>
      <c r="U10" s="1" t="s">
        <v>2744</v>
      </c>
      <c r="V10" s="1" t="s">
        <v>2744</v>
      </c>
      <c r="W10" s="22" t="s">
        <v>2744</v>
      </c>
      <c r="X10" s="1" t="s">
        <v>2744</v>
      </c>
      <c r="Y10" s="1" t="s">
        <v>2744</v>
      </c>
      <c r="Z10" s="1" t="s">
        <v>2744</v>
      </c>
      <c r="AA10" s="1" t="s">
        <v>2744</v>
      </c>
      <c r="AB10" s="1" t="s">
        <v>2744</v>
      </c>
      <c r="AC10" s="1" t="s">
        <v>2744</v>
      </c>
    </row>
    <row r="11" spans="2:29" ht="28" x14ac:dyDescent="0.3">
      <c r="B11" s="19" t="s">
        <v>2747</v>
      </c>
      <c r="C11" s="17" t="s">
        <v>2977</v>
      </c>
      <c r="D11" s="16"/>
      <c r="E11" s="2"/>
      <c r="F11" s="29"/>
      <c r="G11" s="2"/>
      <c r="H11" s="2"/>
      <c r="I11" s="3">
        <f>SUM(GMIC_22A_SCDPT4!SCDPT4_010BEGINNG_7:GMIC_22A_SCDPT4!SCDPT4_010ENDINGG_7)</f>
        <v>7980000</v>
      </c>
      <c r="J11" s="3">
        <f>SUM(GMIC_22A_SCDPT4!SCDPT4_010BEGINNG_8:GMIC_22A_SCDPT4!SCDPT4_010ENDINGG_8)</f>
        <v>7980000</v>
      </c>
      <c r="K11" s="3">
        <f>SUM(GMIC_22A_SCDPT4!SCDPT4_010BEGINNG_9:GMIC_22A_SCDPT4!SCDPT4_010ENDINGG_9)</f>
        <v>7954849</v>
      </c>
      <c r="L11" s="3">
        <f>SUM(GMIC_22A_SCDPT4!SCDPT4_010BEGINNG_10:GMIC_22A_SCDPT4!SCDPT4_010ENDINGG_10)</f>
        <v>7977449</v>
      </c>
      <c r="M11" s="3">
        <f>SUM(GMIC_22A_SCDPT4!SCDPT4_010BEGINNG_11:GMIC_22A_SCDPT4!SCDPT4_010ENDINGG_11)</f>
        <v>0</v>
      </c>
      <c r="N11" s="3">
        <f>SUM(GMIC_22A_SCDPT4!SCDPT4_010BEGINNG_12:GMIC_22A_SCDPT4!SCDPT4_010ENDINGG_12)</f>
        <v>2551</v>
      </c>
      <c r="O11" s="3">
        <f>SUM(GMIC_22A_SCDPT4!SCDPT4_010BEGINNG_13:GMIC_22A_SCDPT4!SCDPT4_010ENDINGG_13)</f>
        <v>0</v>
      </c>
      <c r="P11" s="3">
        <f>SUM(GMIC_22A_SCDPT4!SCDPT4_010BEGINNG_14:GMIC_22A_SCDPT4!SCDPT4_010ENDINGG_14)</f>
        <v>2551</v>
      </c>
      <c r="Q11" s="3">
        <f>SUM(GMIC_22A_SCDPT4!SCDPT4_010BEGINNG_15:GMIC_22A_SCDPT4!SCDPT4_010ENDINGG_15)</f>
        <v>0</v>
      </c>
      <c r="R11" s="3">
        <f>SUM(GMIC_22A_SCDPT4!SCDPT4_010BEGINNG_16:GMIC_22A_SCDPT4!SCDPT4_010ENDINGG_16)</f>
        <v>7980000</v>
      </c>
      <c r="S11" s="3">
        <f>SUM(GMIC_22A_SCDPT4!SCDPT4_010BEGINNG_17:GMIC_22A_SCDPT4!SCDPT4_010ENDINGG_17)</f>
        <v>0</v>
      </c>
      <c r="T11" s="3">
        <f>SUM(GMIC_22A_SCDPT4!SCDPT4_010BEGINNG_18:GMIC_22A_SCDPT4!SCDPT4_010ENDINGG_18)</f>
        <v>0</v>
      </c>
      <c r="U11" s="3">
        <f>SUM(GMIC_22A_SCDPT4!SCDPT4_010BEGINNG_19:GMIC_22A_SCDPT4!SCDPT4_010ENDINGG_19)</f>
        <v>0</v>
      </c>
      <c r="V11" s="3">
        <f>SUM(GMIC_22A_SCDPT4!SCDPT4_010BEGINNG_20:GMIC_22A_SCDPT4!SCDPT4_010ENDINGG_20)</f>
        <v>99625</v>
      </c>
      <c r="W11" s="29"/>
      <c r="X11" s="2"/>
      <c r="Y11" s="2"/>
      <c r="Z11" s="2"/>
      <c r="AA11" s="2"/>
      <c r="AB11" s="2"/>
      <c r="AC11" s="2"/>
    </row>
    <row r="12" spans="2:29" x14ac:dyDescent="0.3">
      <c r="B12" s="7" t="s">
        <v>2744</v>
      </c>
      <c r="C12" s="1" t="s">
        <v>2744</v>
      </c>
      <c r="D12" s="8" t="s">
        <v>2744</v>
      </c>
      <c r="E12" s="1" t="s">
        <v>2744</v>
      </c>
      <c r="F12" s="22" t="s">
        <v>2744</v>
      </c>
      <c r="G12" s="1" t="s">
        <v>2744</v>
      </c>
      <c r="H12" s="1" t="s">
        <v>2744</v>
      </c>
      <c r="I12" s="1" t="s">
        <v>2744</v>
      </c>
      <c r="J12" s="1" t="s">
        <v>2744</v>
      </c>
      <c r="K12" s="1" t="s">
        <v>2744</v>
      </c>
      <c r="L12" s="1" t="s">
        <v>2744</v>
      </c>
      <c r="M12" s="1" t="s">
        <v>2744</v>
      </c>
      <c r="N12" s="1" t="s">
        <v>2744</v>
      </c>
      <c r="O12" s="1" t="s">
        <v>2744</v>
      </c>
      <c r="P12" s="1" t="s">
        <v>2744</v>
      </c>
      <c r="Q12" s="1" t="s">
        <v>2744</v>
      </c>
      <c r="R12" s="1" t="s">
        <v>2744</v>
      </c>
      <c r="S12" s="1" t="s">
        <v>2744</v>
      </c>
      <c r="T12" s="1" t="s">
        <v>2744</v>
      </c>
      <c r="U12" s="1" t="s">
        <v>2744</v>
      </c>
      <c r="V12" s="1" t="s">
        <v>2744</v>
      </c>
      <c r="W12" s="22" t="s">
        <v>2744</v>
      </c>
      <c r="X12" s="1" t="s">
        <v>2744</v>
      </c>
      <c r="Y12" s="1" t="s">
        <v>2744</v>
      </c>
      <c r="Z12" s="1" t="s">
        <v>2744</v>
      </c>
      <c r="AA12" s="1" t="s">
        <v>2744</v>
      </c>
      <c r="AB12" s="1" t="s">
        <v>2744</v>
      </c>
      <c r="AC12" s="1" t="s">
        <v>2744</v>
      </c>
    </row>
    <row r="13" spans="2:29" x14ac:dyDescent="0.3">
      <c r="B13" s="18" t="s">
        <v>3856</v>
      </c>
      <c r="C13" s="47" t="s">
        <v>1587</v>
      </c>
      <c r="D13" s="15" t="s">
        <v>1097</v>
      </c>
      <c r="E13" s="20" t="s">
        <v>1164</v>
      </c>
      <c r="F13" s="9">
        <v>44757</v>
      </c>
      <c r="G13" s="5" t="s">
        <v>1861</v>
      </c>
      <c r="H13" s="2"/>
      <c r="I13" s="4">
        <v>11544636</v>
      </c>
      <c r="J13" s="4">
        <v>11488000</v>
      </c>
      <c r="K13" s="4">
        <v>12104920</v>
      </c>
      <c r="L13" s="4">
        <v>11608315</v>
      </c>
      <c r="M13" s="4">
        <v>0</v>
      </c>
      <c r="N13" s="4">
        <v>-120682</v>
      </c>
      <c r="O13" s="4">
        <v>0</v>
      </c>
      <c r="P13" s="3">
        <f>GMIC_22A_SCDPT4!SCDPT4_0300000001_11+GMIC_22A_SCDPT4!SCDPT4_0300000001_12-GMIC_22A_SCDPT4!SCDPT4_0300000001_13</f>
        <v>-120682</v>
      </c>
      <c r="Q13" s="4">
        <v>0</v>
      </c>
      <c r="R13" s="4">
        <v>11487633</v>
      </c>
      <c r="S13" s="4">
        <v>0</v>
      </c>
      <c r="T13" s="4">
        <v>366</v>
      </c>
      <c r="U13" s="3">
        <f>GMIC_22A_SCDPT4!SCDPT4_0300000001_17+GMIC_22A_SCDPT4!SCDPT4_0300000001_18</f>
        <v>366</v>
      </c>
      <c r="V13" s="4">
        <v>547855</v>
      </c>
      <c r="W13" s="9">
        <v>44929</v>
      </c>
      <c r="X13" s="2"/>
      <c r="Y13" s="5" t="s">
        <v>1588</v>
      </c>
      <c r="Z13" s="5" t="s">
        <v>1362</v>
      </c>
      <c r="AA13" s="5" t="s">
        <v>2215</v>
      </c>
      <c r="AB13" s="21" t="s">
        <v>2</v>
      </c>
      <c r="AC13" s="26" t="s">
        <v>4179</v>
      </c>
    </row>
    <row r="14" spans="2:29" x14ac:dyDescent="0.3">
      <c r="B14" s="7" t="s">
        <v>2744</v>
      </c>
      <c r="C14" s="1" t="s">
        <v>2744</v>
      </c>
      <c r="D14" s="8" t="s">
        <v>2744</v>
      </c>
      <c r="E14" s="1" t="s">
        <v>2744</v>
      </c>
      <c r="F14" s="22" t="s">
        <v>2744</v>
      </c>
      <c r="G14" s="1" t="s">
        <v>2744</v>
      </c>
      <c r="H14" s="1" t="s">
        <v>2744</v>
      </c>
      <c r="I14" s="1" t="s">
        <v>2744</v>
      </c>
      <c r="J14" s="1" t="s">
        <v>2744</v>
      </c>
      <c r="K14" s="1" t="s">
        <v>2744</v>
      </c>
      <c r="L14" s="1" t="s">
        <v>2744</v>
      </c>
      <c r="M14" s="1" t="s">
        <v>2744</v>
      </c>
      <c r="N14" s="1" t="s">
        <v>2744</v>
      </c>
      <c r="O14" s="1" t="s">
        <v>2744</v>
      </c>
      <c r="P14" s="1" t="s">
        <v>2744</v>
      </c>
      <c r="Q14" s="1" t="s">
        <v>2744</v>
      </c>
      <c r="R14" s="1" t="s">
        <v>2744</v>
      </c>
      <c r="S14" s="1" t="s">
        <v>2744</v>
      </c>
      <c r="T14" s="1" t="s">
        <v>2744</v>
      </c>
      <c r="U14" s="1" t="s">
        <v>2744</v>
      </c>
      <c r="V14" s="1" t="s">
        <v>2744</v>
      </c>
      <c r="W14" s="22" t="s">
        <v>2744</v>
      </c>
      <c r="X14" s="1" t="s">
        <v>2744</v>
      </c>
      <c r="Y14" s="1" t="s">
        <v>2744</v>
      </c>
      <c r="Z14" s="1" t="s">
        <v>2744</v>
      </c>
      <c r="AA14" s="1" t="s">
        <v>2744</v>
      </c>
      <c r="AB14" s="1" t="s">
        <v>2744</v>
      </c>
      <c r="AC14" s="1" t="s">
        <v>2744</v>
      </c>
    </row>
    <row r="15" spans="2:29" ht="28" x14ac:dyDescent="0.3">
      <c r="B15" s="19" t="s">
        <v>3412</v>
      </c>
      <c r="C15" s="17" t="s">
        <v>2176</v>
      </c>
      <c r="D15" s="16"/>
      <c r="E15" s="2"/>
      <c r="F15" s="29"/>
      <c r="G15" s="2"/>
      <c r="H15" s="2"/>
      <c r="I15" s="3">
        <f>SUM(GMIC_22A_SCDPT4!SCDPT4_030BEGINNG_7:GMIC_22A_SCDPT4!SCDPT4_030ENDINGG_7)</f>
        <v>11544636</v>
      </c>
      <c r="J15" s="3">
        <f>SUM(GMIC_22A_SCDPT4!SCDPT4_030BEGINNG_8:GMIC_22A_SCDPT4!SCDPT4_030ENDINGG_8)</f>
        <v>11488000</v>
      </c>
      <c r="K15" s="3">
        <f>SUM(GMIC_22A_SCDPT4!SCDPT4_030BEGINNG_9:GMIC_22A_SCDPT4!SCDPT4_030ENDINGG_9)</f>
        <v>12104920</v>
      </c>
      <c r="L15" s="3">
        <f>SUM(GMIC_22A_SCDPT4!SCDPT4_030BEGINNG_10:GMIC_22A_SCDPT4!SCDPT4_030ENDINGG_10)</f>
        <v>11608315</v>
      </c>
      <c r="M15" s="3">
        <f>SUM(GMIC_22A_SCDPT4!SCDPT4_030BEGINNG_11:GMIC_22A_SCDPT4!SCDPT4_030ENDINGG_11)</f>
        <v>0</v>
      </c>
      <c r="N15" s="3">
        <f>SUM(GMIC_22A_SCDPT4!SCDPT4_030BEGINNG_12:GMIC_22A_SCDPT4!SCDPT4_030ENDINGG_12)</f>
        <v>-120682</v>
      </c>
      <c r="O15" s="3">
        <f>SUM(GMIC_22A_SCDPT4!SCDPT4_030BEGINNG_13:GMIC_22A_SCDPT4!SCDPT4_030ENDINGG_13)</f>
        <v>0</v>
      </c>
      <c r="P15" s="3">
        <f>SUM(GMIC_22A_SCDPT4!SCDPT4_030BEGINNG_14:GMIC_22A_SCDPT4!SCDPT4_030ENDINGG_14)</f>
        <v>-120682</v>
      </c>
      <c r="Q15" s="3">
        <f>SUM(GMIC_22A_SCDPT4!SCDPT4_030BEGINNG_15:GMIC_22A_SCDPT4!SCDPT4_030ENDINGG_15)</f>
        <v>0</v>
      </c>
      <c r="R15" s="3">
        <f>SUM(GMIC_22A_SCDPT4!SCDPT4_030BEGINNG_16:GMIC_22A_SCDPT4!SCDPT4_030ENDINGG_16)</f>
        <v>11487633</v>
      </c>
      <c r="S15" s="3">
        <f>SUM(GMIC_22A_SCDPT4!SCDPT4_030BEGINNG_17:GMIC_22A_SCDPT4!SCDPT4_030ENDINGG_17)</f>
        <v>0</v>
      </c>
      <c r="T15" s="3">
        <f>SUM(GMIC_22A_SCDPT4!SCDPT4_030BEGINNG_18:GMIC_22A_SCDPT4!SCDPT4_030ENDINGG_18)</f>
        <v>366</v>
      </c>
      <c r="U15" s="3">
        <f>SUM(GMIC_22A_SCDPT4!SCDPT4_030BEGINNG_19:GMIC_22A_SCDPT4!SCDPT4_030ENDINGG_19)</f>
        <v>366</v>
      </c>
      <c r="V15" s="3">
        <f>SUM(GMIC_22A_SCDPT4!SCDPT4_030BEGINNG_20:GMIC_22A_SCDPT4!SCDPT4_030ENDINGG_20)</f>
        <v>547855</v>
      </c>
      <c r="W15" s="29"/>
      <c r="X15" s="2"/>
      <c r="Y15" s="2"/>
      <c r="Z15" s="2"/>
      <c r="AA15" s="2"/>
      <c r="AB15" s="2"/>
      <c r="AC15" s="2"/>
    </row>
    <row r="16" spans="2:29" x14ac:dyDescent="0.3">
      <c r="B16" s="7" t="s">
        <v>2744</v>
      </c>
      <c r="C16" s="1" t="s">
        <v>2744</v>
      </c>
      <c r="D16" s="8" t="s">
        <v>2744</v>
      </c>
      <c r="E16" s="1" t="s">
        <v>2744</v>
      </c>
      <c r="F16" s="22" t="s">
        <v>2744</v>
      </c>
      <c r="G16" s="1" t="s">
        <v>2744</v>
      </c>
      <c r="H16" s="1" t="s">
        <v>2744</v>
      </c>
      <c r="I16" s="1" t="s">
        <v>2744</v>
      </c>
      <c r="J16" s="1" t="s">
        <v>2744</v>
      </c>
      <c r="K16" s="1" t="s">
        <v>2744</v>
      </c>
      <c r="L16" s="1" t="s">
        <v>2744</v>
      </c>
      <c r="M16" s="1" t="s">
        <v>2744</v>
      </c>
      <c r="N16" s="1" t="s">
        <v>2744</v>
      </c>
      <c r="O16" s="1" t="s">
        <v>2744</v>
      </c>
      <c r="P16" s="1" t="s">
        <v>2744</v>
      </c>
      <c r="Q16" s="1" t="s">
        <v>2744</v>
      </c>
      <c r="R16" s="1" t="s">
        <v>2744</v>
      </c>
      <c r="S16" s="1" t="s">
        <v>2744</v>
      </c>
      <c r="T16" s="1" t="s">
        <v>2744</v>
      </c>
      <c r="U16" s="1" t="s">
        <v>2744</v>
      </c>
      <c r="V16" s="1" t="s">
        <v>2744</v>
      </c>
      <c r="W16" s="22" t="s">
        <v>2744</v>
      </c>
      <c r="X16" s="1" t="s">
        <v>2744</v>
      </c>
      <c r="Y16" s="1" t="s">
        <v>2744</v>
      </c>
      <c r="Z16" s="1" t="s">
        <v>2744</v>
      </c>
      <c r="AA16" s="1" t="s">
        <v>2744</v>
      </c>
      <c r="AB16" s="1" t="s">
        <v>2744</v>
      </c>
      <c r="AC16" s="1" t="s">
        <v>2744</v>
      </c>
    </row>
    <row r="17" spans="2:29" x14ac:dyDescent="0.3">
      <c r="B17" s="18" t="s">
        <v>4488</v>
      </c>
      <c r="C17" s="47" t="s">
        <v>795</v>
      </c>
      <c r="D17" s="15" t="s">
        <v>1098</v>
      </c>
      <c r="E17" s="20" t="s">
        <v>2</v>
      </c>
      <c r="F17" s="14">
        <v>44607</v>
      </c>
      <c r="G17" s="5" t="s">
        <v>466</v>
      </c>
      <c r="H17" s="2"/>
      <c r="I17" s="4">
        <v>180000</v>
      </c>
      <c r="J17" s="4">
        <v>180000</v>
      </c>
      <c r="K17" s="4">
        <v>176987</v>
      </c>
      <c r="L17" s="4">
        <v>179095</v>
      </c>
      <c r="M17" s="4">
        <v>0</v>
      </c>
      <c r="N17" s="4">
        <v>57</v>
      </c>
      <c r="O17" s="4">
        <v>0</v>
      </c>
      <c r="P17" s="3">
        <f>GMIC_22A_SCDPT4!SCDPT4_0500000001_11+GMIC_22A_SCDPT4!SCDPT4_0500000001_12-GMIC_22A_SCDPT4!SCDPT4_0500000001_13</f>
        <v>57</v>
      </c>
      <c r="Q17" s="4">
        <v>0</v>
      </c>
      <c r="R17" s="4">
        <v>179152</v>
      </c>
      <c r="S17" s="4">
        <v>0</v>
      </c>
      <c r="T17" s="4">
        <v>848</v>
      </c>
      <c r="U17" s="3">
        <f>GMIC_22A_SCDPT4!SCDPT4_0500000001_17+GMIC_22A_SCDPT4!SCDPT4_0500000001_18</f>
        <v>848</v>
      </c>
      <c r="V17" s="4">
        <v>4185</v>
      </c>
      <c r="W17" s="14">
        <v>46068</v>
      </c>
      <c r="X17" s="45" t="s">
        <v>3060</v>
      </c>
      <c r="Y17" s="5" t="s">
        <v>2</v>
      </c>
      <c r="Z17" s="5" t="s">
        <v>11</v>
      </c>
      <c r="AA17" s="5" t="s">
        <v>2</v>
      </c>
      <c r="AB17" s="21" t="s">
        <v>2</v>
      </c>
      <c r="AC17" s="26" t="s">
        <v>4179</v>
      </c>
    </row>
    <row r="18" spans="2:29" x14ac:dyDescent="0.3">
      <c r="B18" s="7" t="s">
        <v>2744</v>
      </c>
      <c r="C18" s="1" t="s">
        <v>2744</v>
      </c>
      <c r="D18" s="8" t="s">
        <v>2744</v>
      </c>
      <c r="E18" s="1" t="s">
        <v>2744</v>
      </c>
      <c r="F18" s="22" t="s">
        <v>2744</v>
      </c>
      <c r="G18" s="1" t="s">
        <v>2744</v>
      </c>
      <c r="H18" s="1" t="s">
        <v>2744</v>
      </c>
      <c r="I18" s="1" t="s">
        <v>2744</v>
      </c>
      <c r="J18" s="1" t="s">
        <v>2744</v>
      </c>
      <c r="K18" s="1" t="s">
        <v>2744</v>
      </c>
      <c r="L18" s="1" t="s">
        <v>2744</v>
      </c>
      <c r="M18" s="1" t="s">
        <v>2744</v>
      </c>
      <c r="N18" s="1" t="s">
        <v>2744</v>
      </c>
      <c r="O18" s="1" t="s">
        <v>2744</v>
      </c>
      <c r="P18" s="1" t="s">
        <v>2744</v>
      </c>
      <c r="Q18" s="1" t="s">
        <v>2744</v>
      </c>
      <c r="R18" s="1" t="s">
        <v>2744</v>
      </c>
      <c r="S18" s="1" t="s">
        <v>2744</v>
      </c>
      <c r="T18" s="1" t="s">
        <v>2744</v>
      </c>
      <c r="U18" s="1" t="s">
        <v>2744</v>
      </c>
      <c r="V18" s="1" t="s">
        <v>2744</v>
      </c>
      <c r="W18" s="22" t="s">
        <v>2744</v>
      </c>
      <c r="X18" s="1" t="s">
        <v>2744</v>
      </c>
      <c r="Y18" s="1" t="s">
        <v>2744</v>
      </c>
      <c r="Z18" s="1" t="s">
        <v>2744</v>
      </c>
      <c r="AA18" s="1" t="s">
        <v>2744</v>
      </c>
      <c r="AB18" s="1" t="s">
        <v>2744</v>
      </c>
      <c r="AC18" s="1" t="s">
        <v>2744</v>
      </c>
    </row>
    <row r="19" spans="2:29" ht="28" x14ac:dyDescent="0.3">
      <c r="B19" s="19" t="s">
        <v>3900</v>
      </c>
      <c r="C19" s="17" t="s">
        <v>2177</v>
      </c>
      <c r="D19" s="16"/>
      <c r="E19" s="2"/>
      <c r="F19" s="29"/>
      <c r="G19" s="2"/>
      <c r="H19" s="2"/>
      <c r="I19" s="3">
        <f>SUM(GMIC_22A_SCDPT4!SCDPT4_050BEGINNG_7:GMIC_22A_SCDPT4!SCDPT4_050ENDINGG_7)</f>
        <v>180000</v>
      </c>
      <c r="J19" s="3">
        <f>SUM(GMIC_22A_SCDPT4!SCDPT4_050BEGINNG_8:GMIC_22A_SCDPT4!SCDPT4_050ENDINGG_8)</f>
        <v>180000</v>
      </c>
      <c r="K19" s="3">
        <f>SUM(GMIC_22A_SCDPT4!SCDPT4_050BEGINNG_9:GMIC_22A_SCDPT4!SCDPT4_050ENDINGG_9)</f>
        <v>176987</v>
      </c>
      <c r="L19" s="3">
        <f>SUM(GMIC_22A_SCDPT4!SCDPT4_050BEGINNG_10:GMIC_22A_SCDPT4!SCDPT4_050ENDINGG_10)</f>
        <v>179095</v>
      </c>
      <c r="M19" s="3">
        <f>SUM(GMIC_22A_SCDPT4!SCDPT4_050BEGINNG_11:GMIC_22A_SCDPT4!SCDPT4_050ENDINGG_11)</f>
        <v>0</v>
      </c>
      <c r="N19" s="3">
        <f>SUM(GMIC_22A_SCDPT4!SCDPT4_050BEGINNG_12:GMIC_22A_SCDPT4!SCDPT4_050ENDINGG_12)</f>
        <v>57</v>
      </c>
      <c r="O19" s="3">
        <f>SUM(GMIC_22A_SCDPT4!SCDPT4_050BEGINNG_13:GMIC_22A_SCDPT4!SCDPT4_050ENDINGG_13)</f>
        <v>0</v>
      </c>
      <c r="P19" s="3">
        <f>SUM(GMIC_22A_SCDPT4!SCDPT4_050BEGINNG_14:GMIC_22A_SCDPT4!SCDPT4_050ENDINGG_14)</f>
        <v>57</v>
      </c>
      <c r="Q19" s="3">
        <f>SUM(GMIC_22A_SCDPT4!SCDPT4_050BEGINNG_15:GMIC_22A_SCDPT4!SCDPT4_050ENDINGG_15)</f>
        <v>0</v>
      </c>
      <c r="R19" s="3">
        <f>SUM(GMIC_22A_SCDPT4!SCDPT4_050BEGINNG_16:GMIC_22A_SCDPT4!SCDPT4_050ENDINGG_16)</f>
        <v>179152</v>
      </c>
      <c r="S19" s="3">
        <f>SUM(GMIC_22A_SCDPT4!SCDPT4_050BEGINNG_17:GMIC_22A_SCDPT4!SCDPT4_050ENDINGG_17)</f>
        <v>0</v>
      </c>
      <c r="T19" s="3">
        <f>SUM(GMIC_22A_SCDPT4!SCDPT4_050BEGINNG_18:GMIC_22A_SCDPT4!SCDPT4_050ENDINGG_18)</f>
        <v>848</v>
      </c>
      <c r="U19" s="3">
        <f>SUM(GMIC_22A_SCDPT4!SCDPT4_050BEGINNG_19:GMIC_22A_SCDPT4!SCDPT4_050ENDINGG_19)</f>
        <v>848</v>
      </c>
      <c r="V19" s="3">
        <f>SUM(GMIC_22A_SCDPT4!SCDPT4_050BEGINNG_20:GMIC_22A_SCDPT4!SCDPT4_050ENDINGG_20)</f>
        <v>4185</v>
      </c>
      <c r="W19" s="29"/>
      <c r="X19" s="2"/>
      <c r="Y19" s="2"/>
      <c r="Z19" s="2"/>
      <c r="AA19" s="2"/>
      <c r="AB19" s="2"/>
      <c r="AC19" s="2"/>
    </row>
    <row r="20" spans="2:29" x14ac:dyDescent="0.3">
      <c r="B20" s="7" t="s">
        <v>2744</v>
      </c>
      <c r="C20" s="1" t="s">
        <v>2744</v>
      </c>
      <c r="D20" s="8" t="s">
        <v>2744</v>
      </c>
      <c r="E20" s="1" t="s">
        <v>2744</v>
      </c>
      <c r="F20" s="22" t="s">
        <v>2744</v>
      </c>
      <c r="G20" s="1" t="s">
        <v>2744</v>
      </c>
      <c r="H20" s="1" t="s">
        <v>2744</v>
      </c>
      <c r="I20" s="1" t="s">
        <v>2744</v>
      </c>
      <c r="J20" s="1" t="s">
        <v>2744</v>
      </c>
      <c r="K20" s="1" t="s">
        <v>2744</v>
      </c>
      <c r="L20" s="1" t="s">
        <v>2744</v>
      </c>
      <c r="M20" s="1" t="s">
        <v>2744</v>
      </c>
      <c r="N20" s="1" t="s">
        <v>2744</v>
      </c>
      <c r="O20" s="1" t="s">
        <v>2744</v>
      </c>
      <c r="P20" s="1" t="s">
        <v>2744</v>
      </c>
      <c r="Q20" s="1" t="s">
        <v>2744</v>
      </c>
      <c r="R20" s="1" t="s">
        <v>2744</v>
      </c>
      <c r="S20" s="1" t="s">
        <v>2744</v>
      </c>
      <c r="T20" s="1" t="s">
        <v>2744</v>
      </c>
      <c r="U20" s="1" t="s">
        <v>2744</v>
      </c>
      <c r="V20" s="1" t="s">
        <v>2744</v>
      </c>
      <c r="W20" s="22" t="s">
        <v>2744</v>
      </c>
      <c r="X20" s="1" t="s">
        <v>2744</v>
      </c>
      <c r="Y20" s="1" t="s">
        <v>2744</v>
      </c>
      <c r="Z20" s="1" t="s">
        <v>2744</v>
      </c>
      <c r="AA20" s="1" t="s">
        <v>2744</v>
      </c>
      <c r="AB20" s="1" t="s">
        <v>2744</v>
      </c>
      <c r="AC20" s="1" t="s">
        <v>2744</v>
      </c>
    </row>
    <row r="21" spans="2:29" x14ac:dyDescent="0.3">
      <c r="B21" s="18" t="s">
        <v>467</v>
      </c>
      <c r="C21" s="47" t="s">
        <v>1862</v>
      </c>
      <c r="D21" s="15" t="s">
        <v>4489</v>
      </c>
      <c r="E21" s="20" t="s">
        <v>2</v>
      </c>
      <c r="F21" s="14">
        <v>44805</v>
      </c>
      <c r="G21" s="5" t="s">
        <v>730</v>
      </c>
      <c r="H21" s="2"/>
      <c r="I21" s="4">
        <v>4500000</v>
      </c>
      <c r="J21" s="4">
        <v>4500000</v>
      </c>
      <c r="K21" s="4">
        <v>4500000</v>
      </c>
      <c r="L21" s="4">
        <v>4500000</v>
      </c>
      <c r="M21" s="4">
        <v>0</v>
      </c>
      <c r="N21" s="4">
        <v>0</v>
      </c>
      <c r="O21" s="4">
        <v>0</v>
      </c>
      <c r="P21" s="3">
        <f>GMIC_22A_SCDPT4!SCDPT4_0700000001_11+GMIC_22A_SCDPT4!SCDPT4_0700000001_12-GMIC_22A_SCDPT4!SCDPT4_0700000001_13</f>
        <v>0</v>
      </c>
      <c r="Q21" s="4">
        <v>0</v>
      </c>
      <c r="R21" s="4">
        <v>4500000</v>
      </c>
      <c r="S21" s="4">
        <v>0</v>
      </c>
      <c r="T21" s="4">
        <v>0</v>
      </c>
      <c r="U21" s="3">
        <f>GMIC_22A_SCDPT4!SCDPT4_0700000001_17+GMIC_22A_SCDPT4!SCDPT4_0700000001_18</f>
        <v>0</v>
      </c>
      <c r="V21" s="4">
        <v>147870</v>
      </c>
      <c r="W21" s="14">
        <v>44805</v>
      </c>
      <c r="X21" s="45" t="s">
        <v>2216</v>
      </c>
      <c r="Y21" s="5" t="s">
        <v>2</v>
      </c>
      <c r="Z21" s="5" t="s">
        <v>2699</v>
      </c>
      <c r="AA21" s="5" t="s">
        <v>2</v>
      </c>
      <c r="AB21" s="21" t="s">
        <v>2</v>
      </c>
      <c r="AC21" s="26" t="s">
        <v>4179</v>
      </c>
    </row>
    <row r="22" spans="2:29" x14ac:dyDescent="0.3">
      <c r="B22" s="18" t="s">
        <v>1589</v>
      </c>
      <c r="C22" s="47" t="s">
        <v>468</v>
      </c>
      <c r="D22" s="15" t="s">
        <v>3613</v>
      </c>
      <c r="E22" s="55" t="s">
        <v>2</v>
      </c>
      <c r="F22" s="9">
        <v>44866</v>
      </c>
      <c r="G22" s="5" t="s">
        <v>2981</v>
      </c>
      <c r="H22" s="2"/>
      <c r="I22" s="4">
        <v>2702408</v>
      </c>
      <c r="J22" s="4">
        <v>3265000</v>
      </c>
      <c r="K22" s="4">
        <v>1224244</v>
      </c>
      <c r="L22" s="4">
        <v>2447341</v>
      </c>
      <c r="M22" s="4">
        <v>0</v>
      </c>
      <c r="N22" s="4">
        <v>108324</v>
      </c>
      <c r="O22" s="4">
        <v>0</v>
      </c>
      <c r="P22" s="24">
        <v>108324</v>
      </c>
      <c r="Q22" s="4">
        <v>0</v>
      </c>
      <c r="R22" s="4">
        <v>2555665</v>
      </c>
      <c r="S22" s="4">
        <v>0</v>
      </c>
      <c r="T22" s="4">
        <v>146742</v>
      </c>
      <c r="U22" s="24">
        <v>146742</v>
      </c>
      <c r="V22" s="4">
        <v>0</v>
      </c>
      <c r="W22" s="9">
        <v>46600</v>
      </c>
      <c r="X22" s="70" t="s">
        <v>3654</v>
      </c>
      <c r="Y22" s="5" t="s">
        <v>2</v>
      </c>
      <c r="Z22" s="5" t="s">
        <v>2490</v>
      </c>
      <c r="AA22" s="5" t="s">
        <v>2277</v>
      </c>
      <c r="AB22" s="21" t="s">
        <v>2</v>
      </c>
      <c r="AC22" s="54" t="s">
        <v>4179</v>
      </c>
    </row>
    <row r="23" spans="2:29" x14ac:dyDescent="0.3">
      <c r="B23" s="18" t="s">
        <v>2700</v>
      </c>
      <c r="C23" s="47" t="s">
        <v>1863</v>
      </c>
      <c r="D23" s="15" t="s">
        <v>3857</v>
      </c>
      <c r="E23" s="55" t="s">
        <v>2</v>
      </c>
      <c r="F23" s="14">
        <v>44866</v>
      </c>
      <c r="G23" s="5" t="s">
        <v>2981</v>
      </c>
      <c r="H23" s="2"/>
      <c r="I23" s="4">
        <v>3944050</v>
      </c>
      <c r="J23" s="4">
        <v>5000000</v>
      </c>
      <c r="K23" s="4">
        <v>1895950</v>
      </c>
      <c r="L23" s="4">
        <v>3677786</v>
      </c>
      <c r="M23" s="4">
        <v>0</v>
      </c>
      <c r="N23" s="4">
        <v>146789</v>
      </c>
      <c r="O23" s="4">
        <v>0</v>
      </c>
      <c r="P23" s="24">
        <v>146789</v>
      </c>
      <c r="Q23" s="4">
        <v>0</v>
      </c>
      <c r="R23" s="4">
        <v>3824573</v>
      </c>
      <c r="S23" s="4">
        <v>0</v>
      </c>
      <c r="T23" s="4">
        <v>119477</v>
      </c>
      <c r="U23" s="24">
        <v>119477</v>
      </c>
      <c r="V23" s="4">
        <v>0</v>
      </c>
      <c r="W23" s="14">
        <v>46966</v>
      </c>
      <c r="X23" s="70" t="s">
        <v>3654</v>
      </c>
      <c r="Y23" s="5" t="s">
        <v>2</v>
      </c>
      <c r="Z23" s="5" t="s">
        <v>1864</v>
      </c>
      <c r="AA23" s="5" t="s">
        <v>2277</v>
      </c>
      <c r="AB23" s="21" t="s">
        <v>2</v>
      </c>
      <c r="AC23" s="54" t="s">
        <v>4179</v>
      </c>
    </row>
    <row r="24" spans="2:29" x14ac:dyDescent="0.3">
      <c r="B24" s="18" t="s">
        <v>3858</v>
      </c>
      <c r="C24" s="47" t="s">
        <v>3349</v>
      </c>
      <c r="D24" s="15" t="s">
        <v>3859</v>
      </c>
      <c r="E24" s="55" t="s">
        <v>2</v>
      </c>
      <c r="F24" s="14">
        <v>44867</v>
      </c>
      <c r="G24" s="5" t="s">
        <v>2981</v>
      </c>
      <c r="H24" s="2"/>
      <c r="I24" s="4">
        <v>3345498</v>
      </c>
      <c r="J24" s="4">
        <v>4205000</v>
      </c>
      <c r="K24" s="4">
        <v>1906377</v>
      </c>
      <c r="L24" s="4">
        <v>2802617</v>
      </c>
      <c r="M24" s="4">
        <v>0</v>
      </c>
      <c r="N24" s="4">
        <v>149210</v>
      </c>
      <c r="O24" s="4">
        <v>0</v>
      </c>
      <c r="P24" s="24">
        <v>149210</v>
      </c>
      <c r="Q24" s="4">
        <v>0</v>
      </c>
      <c r="R24" s="4">
        <v>2951827</v>
      </c>
      <c r="S24" s="4">
        <v>0</v>
      </c>
      <c r="T24" s="4">
        <v>393671</v>
      </c>
      <c r="U24" s="24">
        <v>393671</v>
      </c>
      <c r="V24" s="4">
        <v>0</v>
      </c>
      <c r="W24" s="14">
        <v>46966</v>
      </c>
      <c r="X24" s="70" t="s">
        <v>3654</v>
      </c>
      <c r="Y24" s="5" t="s">
        <v>2</v>
      </c>
      <c r="Z24" s="5" t="s">
        <v>3860</v>
      </c>
      <c r="AA24" s="5" t="s">
        <v>2277</v>
      </c>
      <c r="AB24" s="21" t="s">
        <v>2</v>
      </c>
      <c r="AC24" s="54" t="s">
        <v>4179</v>
      </c>
    </row>
    <row r="25" spans="2:29" x14ac:dyDescent="0.3">
      <c r="B25" s="7" t="s">
        <v>2744</v>
      </c>
      <c r="C25" s="1" t="s">
        <v>2744</v>
      </c>
      <c r="D25" s="8" t="s">
        <v>2744</v>
      </c>
      <c r="E25" s="1" t="s">
        <v>2744</v>
      </c>
      <c r="F25" s="22" t="s">
        <v>2744</v>
      </c>
      <c r="G25" s="1" t="s">
        <v>2744</v>
      </c>
      <c r="H25" s="1" t="s">
        <v>2744</v>
      </c>
      <c r="I25" s="1" t="s">
        <v>2744</v>
      </c>
      <c r="J25" s="1" t="s">
        <v>2744</v>
      </c>
      <c r="K25" s="1" t="s">
        <v>2744</v>
      </c>
      <c r="L25" s="1" t="s">
        <v>2744</v>
      </c>
      <c r="M25" s="1" t="s">
        <v>2744</v>
      </c>
      <c r="N25" s="1" t="s">
        <v>2744</v>
      </c>
      <c r="O25" s="1" t="s">
        <v>2744</v>
      </c>
      <c r="P25" s="1" t="s">
        <v>2744</v>
      </c>
      <c r="Q25" s="1" t="s">
        <v>2744</v>
      </c>
      <c r="R25" s="1" t="s">
        <v>2744</v>
      </c>
      <c r="S25" s="1" t="s">
        <v>2744</v>
      </c>
      <c r="T25" s="1" t="s">
        <v>2744</v>
      </c>
      <c r="U25" s="1" t="s">
        <v>2744</v>
      </c>
      <c r="V25" s="1" t="s">
        <v>2744</v>
      </c>
      <c r="W25" s="22" t="s">
        <v>2744</v>
      </c>
      <c r="X25" s="1" t="s">
        <v>2744</v>
      </c>
      <c r="Y25" s="1" t="s">
        <v>2744</v>
      </c>
      <c r="Z25" s="1" t="s">
        <v>2744</v>
      </c>
      <c r="AA25" s="1" t="s">
        <v>2744</v>
      </c>
      <c r="AB25" s="1" t="s">
        <v>2744</v>
      </c>
      <c r="AC25" s="1" t="s">
        <v>2744</v>
      </c>
    </row>
    <row r="26" spans="2:29" ht="56" x14ac:dyDescent="0.3">
      <c r="B26" s="19" t="s">
        <v>15</v>
      </c>
      <c r="C26" s="17" t="s">
        <v>3309</v>
      </c>
      <c r="D26" s="16"/>
      <c r="E26" s="2"/>
      <c r="F26" s="29"/>
      <c r="G26" s="2"/>
      <c r="H26" s="2"/>
      <c r="I26" s="3">
        <f>SUM(GMIC_22A_SCDPT4!SCDPT4_070BEGINNG_7:GMIC_22A_SCDPT4!SCDPT4_070ENDINGG_7)</f>
        <v>14491956</v>
      </c>
      <c r="J26" s="3">
        <f>SUM(GMIC_22A_SCDPT4!SCDPT4_070BEGINNG_8:GMIC_22A_SCDPT4!SCDPT4_070ENDINGG_8)</f>
        <v>16970000</v>
      </c>
      <c r="K26" s="3">
        <f>SUM(GMIC_22A_SCDPT4!SCDPT4_070BEGINNG_9:GMIC_22A_SCDPT4!SCDPT4_070ENDINGG_9)</f>
        <v>9526571</v>
      </c>
      <c r="L26" s="3">
        <f>SUM(GMIC_22A_SCDPT4!SCDPT4_070BEGINNG_10:GMIC_22A_SCDPT4!SCDPT4_070ENDINGG_10)</f>
        <v>13427744</v>
      </c>
      <c r="M26" s="3">
        <f>SUM(GMIC_22A_SCDPT4!SCDPT4_070BEGINNG_11:GMIC_22A_SCDPT4!SCDPT4_070ENDINGG_11)</f>
        <v>0</v>
      </c>
      <c r="N26" s="3">
        <f>SUM(GMIC_22A_SCDPT4!SCDPT4_070BEGINNG_12:GMIC_22A_SCDPT4!SCDPT4_070ENDINGG_12)</f>
        <v>404323</v>
      </c>
      <c r="O26" s="3">
        <f>SUM(GMIC_22A_SCDPT4!SCDPT4_070BEGINNG_13:GMIC_22A_SCDPT4!SCDPT4_070ENDINGG_13)</f>
        <v>0</v>
      </c>
      <c r="P26" s="3">
        <f>SUM(GMIC_22A_SCDPT4!SCDPT4_070BEGINNG_14:GMIC_22A_SCDPT4!SCDPT4_070ENDINGG_14)</f>
        <v>404323</v>
      </c>
      <c r="Q26" s="3">
        <f>SUM(GMIC_22A_SCDPT4!SCDPT4_070BEGINNG_15:GMIC_22A_SCDPT4!SCDPT4_070ENDINGG_15)</f>
        <v>0</v>
      </c>
      <c r="R26" s="3">
        <f>SUM(GMIC_22A_SCDPT4!SCDPT4_070BEGINNG_16:GMIC_22A_SCDPT4!SCDPT4_070ENDINGG_16)</f>
        <v>13832065</v>
      </c>
      <c r="S26" s="3">
        <f>SUM(GMIC_22A_SCDPT4!SCDPT4_070BEGINNG_17:GMIC_22A_SCDPT4!SCDPT4_070ENDINGG_17)</f>
        <v>0</v>
      </c>
      <c r="T26" s="3">
        <f>SUM(GMIC_22A_SCDPT4!SCDPT4_070BEGINNG_18:GMIC_22A_SCDPT4!SCDPT4_070ENDINGG_18)</f>
        <v>659890</v>
      </c>
      <c r="U26" s="3">
        <f>SUM(GMIC_22A_SCDPT4!SCDPT4_070BEGINNG_19:GMIC_22A_SCDPT4!SCDPT4_070ENDINGG_19)</f>
        <v>659890</v>
      </c>
      <c r="V26" s="3">
        <f>SUM(GMIC_22A_SCDPT4!SCDPT4_070BEGINNG_20:GMIC_22A_SCDPT4!SCDPT4_070ENDINGG_20)</f>
        <v>147870</v>
      </c>
      <c r="W26" s="29"/>
      <c r="X26" s="2"/>
      <c r="Y26" s="2"/>
      <c r="Z26" s="2"/>
      <c r="AA26" s="2"/>
      <c r="AB26" s="2"/>
      <c r="AC26" s="2"/>
    </row>
    <row r="27" spans="2:29" x14ac:dyDescent="0.3">
      <c r="B27" s="7" t="s">
        <v>2744</v>
      </c>
      <c r="C27" s="1" t="s">
        <v>2744</v>
      </c>
      <c r="D27" s="8" t="s">
        <v>2744</v>
      </c>
      <c r="E27" s="1" t="s">
        <v>2744</v>
      </c>
      <c r="F27" s="22" t="s">
        <v>2744</v>
      </c>
      <c r="G27" s="1" t="s">
        <v>2744</v>
      </c>
      <c r="H27" s="1" t="s">
        <v>2744</v>
      </c>
      <c r="I27" s="1" t="s">
        <v>2744</v>
      </c>
      <c r="J27" s="1" t="s">
        <v>2744</v>
      </c>
      <c r="K27" s="1" t="s">
        <v>2744</v>
      </c>
      <c r="L27" s="1" t="s">
        <v>2744</v>
      </c>
      <c r="M27" s="1" t="s">
        <v>2744</v>
      </c>
      <c r="N27" s="1" t="s">
        <v>2744</v>
      </c>
      <c r="O27" s="1" t="s">
        <v>2744</v>
      </c>
      <c r="P27" s="1" t="s">
        <v>2744</v>
      </c>
      <c r="Q27" s="1" t="s">
        <v>2744</v>
      </c>
      <c r="R27" s="1" t="s">
        <v>2744</v>
      </c>
      <c r="S27" s="1" t="s">
        <v>2744</v>
      </c>
      <c r="T27" s="1" t="s">
        <v>2744</v>
      </c>
      <c r="U27" s="1" t="s">
        <v>2744</v>
      </c>
      <c r="V27" s="1" t="s">
        <v>2744</v>
      </c>
      <c r="W27" s="22" t="s">
        <v>2744</v>
      </c>
      <c r="X27" s="1" t="s">
        <v>2744</v>
      </c>
      <c r="Y27" s="1" t="s">
        <v>2744</v>
      </c>
      <c r="Z27" s="1" t="s">
        <v>2744</v>
      </c>
      <c r="AA27" s="1" t="s">
        <v>2744</v>
      </c>
      <c r="AB27" s="1" t="s">
        <v>2744</v>
      </c>
      <c r="AC27" s="1" t="s">
        <v>2744</v>
      </c>
    </row>
    <row r="28" spans="2:29" x14ac:dyDescent="0.3">
      <c r="B28" s="18" t="s">
        <v>1057</v>
      </c>
      <c r="C28" s="47" t="s">
        <v>808</v>
      </c>
      <c r="D28" s="15" t="s">
        <v>4193</v>
      </c>
      <c r="E28" s="20" t="s">
        <v>2</v>
      </c>
      <c r="F28" s="14">
        <v>44819</v>
      </c>
      <c r="G28" s="5" t="s">
        <v>466</v>
      </c>
      <c r="H28" s="2"/>
      <c r="I28" s="4">
        <v>640000</v>
      </c>
      <c r="J28" s="4">
        <v>640000</v>
      </c>
      <c r="K28" s="4">
        <v>640000</v>
      </c>
      <c r="L28" s="4">
        <v>640000</v>
      </c>
      <c r="M28" s="4">
        <v>0</v>
      </c>
      <c r="N28" s="4">
        <v>0</v>
      </c>
      <c r="O28" s="4">
        <v>0</v>
      </c>
      <c r="P28" s="3">
        <f>GMIC_22A_SCDPT4!SCDPT4_0900000001_11+GMIC_22A_SCDPT4!SCDPT4_0900000001_12-GMIC_22A_SCDPT4!SCDPT4_0900000001_13</f>
        <v>0</v>
      </c>
      <c r="Q28" s="4">
        <v>0</v>
      </c>
      <c r="R28" s="4">
        <v>640000</v>
      </c>
      <c r="S28" s="4">
        <v>0</v>
      </c>
      <c r="T28" s="4">
        <v>0</v>
      </c>
      <c r="U28" s="3">
        <f>GMIC_22A_SCDPT4!SCDPT4_0900000001_17+GMIC_22A_SCDPT4!SCDPT4_0900000001_18</f>
        <v>0</v>
      </c>
      <c r="V28" s="4">
        <v>20243</v>
      </c>
      <c r="W28" s="14">
        <v>45915</v>
      </c>
      <c r="X28" s="45" t="s">
        <v>277</v>
      </c>
      <c r="Y28" s="5" t="s">
        <v>2</v>
      </c>
      <c r="Z28" s="5" t="s">
        <v>16</v>
      </c>
      <c r="AA28" s="5" t="s">
        <v>4194</v>
      </c>
      <c r="AB28" s="21" t="s">
        <v>2</v>
      </c>
      <c r="AC28" s="26" t="s">
        <v>4179</v>
      </c>
    </row>
    <row r="29" spans="2:29" x14ac:dyDescent="0.3">
      <c r="B29" s="18" t="s">
        <v>2179</v>
      </c>
      <c r="C29" s="47" t="s">
        <v>3861</v>
      </c>
      <c r="D29" s="15" t="s">
        <v>4490</v>
      </c>
      <c r="E29" s="55" t="s">
        <v>2</v>
      </c>
      <c r="F29" s="14">
        <v>44743</v>
      </c>
      <c r="G29" s="5" t="s">
        <v>730</v>
      </c>
      <c r="H29" s="2"/>
      <c r="I29" s="4">
        <v>750000</v>
      </c>
      <c r="J29" s="4">
        <v>750000</v>
      </c>
      <c r="K29" s="4">
        <v>750000</v>
      </c>
      <c r="L29" s="4">
        <v>750000</v>
      </c>
      <c r="M29" s="4">
        <v>0</v>
      </c>
      <c r="N29" s="4">
        <v>0</v>
      </c>
      <c r="O29" s="4">
        <v>0</v>
      </c>
      <c r="P29" s="24">
        <v>0</v>
      </c>
      <c r="Q29" s="4">
        <v>0</v>
      </c>
      <c r="R29" s="4">
        <v>750000</v>
      </c>
      <c r="S29" s="4">
        <v>0</v>
      </c>
      <c r="T29" s="4">
        <v>0</v>
      </c>
      <c r="U29" s="24">
        <v>0</v>
      </c>
      <c r="V29" s="4">
        <v>14693</v>
      </c>
      <c r="W29" s="14">
        <v>44743</v>
      </c>
      <c r="X29" s="70" t="s">
        <v>3350</v>
      </c>
      <c r="Y29" s="5" t="s">
        <v>3351</v>
      </c>
      <c r="Z29" s="5" t="s">
        <v>2491</v>
      </c>
      <c r="AA29" s="5" t="s">
        <v>3003</v>
      </c>
      <c r="AB29" s="21" t="s">
        <v>2</v>
      </c>
      <c r="AC29" s="54" t="s">
        <v>4179</v>
      </c>
    </row>
    <row r="30" spans="2:29" x14ac:dyDescent="0.3">
      <c r="B30" s="18" t="s">
        <v>3352</v>
      </c>
      <c r="C30" s="47" t="s">
        <v>469</v>
      </c>
      <c r="D30" s="15" t="s">
        <v>4490</v>
      </c>
      <c r="E30" s="55" t="s">
        <v>2</v>
      </c>
      <c r="F30" s="14">
        <v>44790</v>
      </c>
      <c r="G30" s="5" t="s">
        <v>1363</v>
      </c>
      <c r="H30" s="2"/>
      <c r="I30" s="4">
        <v>740603</v>
      </c>
      <c r="J30" s="4">
        <v>750000</v>
      </c>
      <c r="K30" s="4">
        <v>750000</v>
      </c>
      <c r="L30" s="4">
        <v>750000</v>
      </c>
      <c r="M30" s="4">
        <v>0</v>
      </c>
      <c r="N30" s="4">
        <v>0</v>
      </c>
      <c r="O30" s="4">
        <v>0</v>
      </c>
      <c r="P30" s="24">
        <v>0</v>
      </c>
      <c r="Q30" s="4">
        <v>0</v>
      </c>
      <c r="R30" s="4">
        <v>750000</v>
      </c>
      <c r="S30" s="4">
        <v>0</v>
      </c>
      <c r="T30" s="4">
        <v>-9398</v>
      </c>
      <c r="U30" s="24">
        <v>-9398</v>
      </c>
      <c r="V30" s="4">
        <v>18352</v>
      </c>
      <c r="W30" s="14">
        <v>45108</v>
      </c>
      <c r="X30" s="70" t="s">
        <v>3350</v>
      </c>
      <c r="Y30" s="5" t="s">
        <v>3351</v>
      </c>
      <c r="Z30" s="5" t="s">
        <v>2491</v>
      </c>
      <c r="AA30" s="5" t="s">
        <v>3003</v>
      </c>
      <c r="AB30" s="21" t="s">
        <v>2</v>
      </c>
      <c r="AC30" s="54" t="s">
        <v>4179</v>
      </c>
    </row>
    <row r="31" spans="2:29" x14ac:dyDescent="0.3">
      <c r="B31" s="18" t="s">
        <v>4491</v>
      </c>
      <c r="C31" s="47" t="s">
        <v>1099</v>
      </c>
      <c r="D31" s="15" t="s">
        <v>3862</v>
      </c>
      <c r="E31" s="55" t="s">
        <v>2</v>
      </c>
      <c r="F31" s="14">
        <v>44666</v>
      </c>
      <c r="G31" s="5" t="s">
        <v>730</v>
      </c>
      <c r="H31" s="2"/>
      <c r="I31" s="4">
        <v>5500000</v>
      </c>
      <c r="J31" s="4">
        <v>5500000</v>
      </c>
      <c r="K31" s="4">
        <v>5500000</v>
      </c>
      <c r="L31" s="4">
        <v>5500000</v>
      </c>
      <c r="M31" s="4">
        <v>0</v>
      </c>
      <c r="N31" s="4">
        <v>0</v>
      </c>
      <c r="O31" s="4">
        <v>0</v>
      </c>
      <c r="P31" s="24">
        <v>0</v>
      </c>
      <c r="Q31" s="4">
        <v>0</v>
      </c>
      <c r="R31" s="4">
        <v>5500000</v>
      </c>
      <c r="S31" s="4">
        <v>0</v>
      </c>
      <c r="T31" s="4">
        <v>0</v>
      </c>
      <c r="U31" s="24">
        <v>0</v>
      </c>
      <c r="V31" s="4">
        <v>88743</v>
      </c>
      <c r="W31" s="14">
        <v>44666</v>
      </c>
      <c r="X31" s="70" t="s">
        <v>2492</v>
      </c>
      <c r="Y31" s="5" t="s">
        <v>2</v>
      </c>
      <c r="Z31" s="5" t="s">
        <v>2217</v>
      </c>
      <c r="AA31" s="5" t="s">
        <v>3353</v>
      </c>
      <c r="AB31" s="21" t="s">
        <v>2</v>
      </c>
      <c r="AC31" s="54" t="s">
        <v>4179</v>
      </c>
    </row>
    <row r="32" spans="2:29" x14ac:dyDescent="0.3">
      <c r="B32" s="18" t="s">
        <v>1100</v>
      </c>
      <c r="C32" s="47" t="s">
        <v>213</v>
      </c>
      <c r="D32" s="15" t="s">
        <v>3354</v>
      </c>
      <c r="E32" s="55" t="s">
        <v>2</v>
      </c>
      <c r="F32" s="14">
        <v>44866</v>
      </c>
      <c r="G32" s="5" t="s">
        <v>2981</v>
      </c>
      <c r="H32" s="2"/>
      <c r="I32" s="4">
        <v>2659507</v>
      </c>
      <c r="J32" s="4">
        <v>3175000</v>
      </c>
      <c r="K32" s="4">
        <v>1722967</v>
      </c>
      <c r="L32" s="4">
        <v>2423107</v>
      </c>
      <c r="M32" s="4">
        <v>0</v>
      </c>
      <c r="N32" s="4">
        <v>113432</v>
      </c>
      <c r="O32" s="4">
        <v>0</v>
      </c>
      <c r="P32" s="24">
        <v>113432</v>
      </c>
      <c r="Q32" s="4">
        <v>0</v>
      </c>
      <c r="R32" s="4">
        <v>2536538</v>
      </c>
      <c r="S32" s="4">
        <v>0</v>
      </c>
      <c r="T32" s="4">
        <v>122969</v>
      </c>
      <c r="U32" s="24">
        <v>122969</v>
      </c>
      <c r="V32" s="4">
        <v>0</v>
      </c>
      <c r="W32" s="14">
        <v>46371</v>
      </c>
      <c r="X32" s="70" t="s">
        <v>2216</v>
      </c>
      <c r="Y32" s="5" t="s">
        <v>731</v>
      </c>
      <c r="Z32" s="5" t="s">
        <v>1364</v>
      </c>
      <c r="AA32" s="5" t="s">
        <v>1423</v>
      </c>
      <c r="AB32" s="21" t="s">
        <v>2</v>
      </c>
      <c r="AC32" s="54" t="s">
        <v>4179</v>
      </c>
    </row>
    <row r="33" spans="2:29" x14ac:dyDescent="0.3">
      <c r="B33" s="18" t="s">
        <v>2218</v>
      </c>
      <c r="C33" s="47" t="s">
        <v>470</v>
      </c>
      <c r="D33" s="15" t="s">
        <v>25</v>
      </c>
      <c r="E33" s="55" t="s">
        <v>2</v>
      </c>
      <c r="F33" s="14">
        <v>44575</v>
      </c>
      <c r="G33" s="5" t="s">
        <v>4453</v>
      </c>
      <c r="H33" s="2"/>
      <c r="I33" s="4">
        <v>6534534</v>
      </c>
      <c r="J33" s="4">
        <v>6585000</v>
      </c>
      <c r="K33" s="4">
        <v>6520928</v>
      </c>
      <c r="L33" s="4">
        <v>6534109</v>
      </c>
      <c r="M33" s="4">
        <v>0</v>
      </c>
      <c r="N33" s="4">
        <v>426</v>
      </c>
      <c r="O33" s="4">
        <v>0</v>
      </c>
      <c r="P33" s="24">
        <v>426</v>
      </c>
      <c r="Q33" s="4">
        <v>0</v>
      </c>
      <c r="R33" s="4">
        <v>6534534</v>
      </c>
      <c r="S33" s="4">
        <v>0</v>
      </c>
      <c r="T33" s="4">
        <v>0</v>
      </c>
      <c r="U33" s="24">
        <v>0</v>
      </c>
      <c r="V33" s="4">
        <v>22638</v>
      </c>
      <c r="W33" s="14">
        <v>46096</v>
      </c>
      <c r="X33" s="70" t="s">
        <v>1410</v>
      </c>
      <c r="Y33" s="5" t="s">
        <v>3908</v>
      </c>
      <c r="Z33" s="5" t="s">
        <v>284</v>
      </c>
      <c r="AA33" s="5" t="s">
        <v>2763</v>
      </c>
      <c r="AB33" s="21" t="s">
        <v>2</v>
      </c>
      <c r="AC33" s="54" t="s">
        <v>4179</v>
      </c>
    </row>
    <row r="34" spans="2:29" x14ac:dyDescent="0.3">
      <c r="B34" s="18" t="s">
        <v>3355</v>
      </c>
      <c r="C34" s="47" t="s">
        <v>4492</v>
      </c>
      <c r="D34" s="15" t="s">
        <v>1939</v>
      </c>
      <c r="E34" s="55" t="s">
        <v>2</v>
      </c>
      <c r="F34" s="14">
        <v>44790</v>
      </c>
      <c r="G34" s="5" t="s">
        <v>2981</v>
      </c>
      <c r="H34" s="2"/>
      <c r="I34" s="4">
        <v>3442565</v>
      </c>
      <c r="J34" s="4">
        <v>3500000</v>
      </c>
      <c r="K34" s="4">
        <v>3500000</v>
      </c>
      <c r="L34" s="4">
        <v>3500000</v>
      </c>
      <c r="M34" s="4">
        <v>0</v>
      </c>
      <c r="N34" s="4">
        <v>0</v>
      </c>
      <c r="O34" s="4">
        <v>0</v>
      </c>
      <c r="P34" s="24">
        <v>0</v>
      </c>
      <c r="Q34" s="4">
        <v>0</v>
      </c>
      <c r="R34" s="4">
        <v>3500000</v>
      </c>
      <c r="S34" s="4">
        <v>0</v>
      </c>
      <c r="T34" s="4">
        <v>-57435</v>
      </c>
      <c r="U34" s="24">
        <v>-57435</v>
      </c>
      <c r="V34" s="4">
        <v>64588</v>
      </c>
      <c r="W34" s="14">
        <v>45170</v>
      </c>
      <c r="X34" s="70" t="s">
        <v>1165</v>
      </c>
      <c r="Y34" s="5" t="s">
        <v>2</v>
      </c>
      <c r="Z34" s="5" t="s">
        <v>818</v>
      </c>
      <c r="AA34" s="5" t="s">
        <v>27</v>
      </c>
      <c r="AB34" s="21" t="s">
        <v>2</v>
      </c>
      <c r="AC34" s="54" t="s">
        <v>4179</v>
      </c>
    </row>
    <row r="35" spans="2:29" x14ac:dyDescent="0.3">
      <c r="B35" s="18" t="s">
        <v>214</v>
      </c>
      <c r="C35" s="47" t="s">
        <v>1865</v>
      </c>
      <c r="D35" s="15" t="s">
        <v>521</v>
      </c>
      <c r="E35" s="55" t="s">
        <v>2</v>
      </c>
      <c r="F35" s="14">
        <v>44696</v>
      </c>
      <c r="G35" s="5" t="s">
        <v>730</v>
      </c>
      <c r="H35" s="2"/>
      <c r="I35" s="4">
        <v>5000000</v>
      </c>
      <c r="J35" s="4">
        <v>5000000</v>
      </c>
      <c r="K35" s="4">
        <v>5000000</v>
      </c>
      <c r="L35" s="4">
        <v>5000000</v>
      </c>
      <c r="M35" s="4">
        <v>0</v>
      </c>
      <c r="N35" s="4">
        <v>0</v>
      </c>
      <c r="O35" s="4">
        <v>0</v>
      </c>
      <c r="P35" s="24">
        <v>0</v>
      </c>
      <c r="Q35" s="4">
        <v>0</v>
      </c>
      <c r="R35" s="4">
        <v>5000000</v>
      </c>
      <c r="S35" s="4">
        <v>0</v>
      </c>
      <c r="T35" s="4">
        <v>0</v>
      </c>
      <c r="U35" s="24">
        <v>0</v>
      </c>
      <c r="V35" s="4">
        <v>41500</v>
      </c>
      <c r="W35" s="14">
        <v>44696</v>
      </c>
      <c r="X35" s="70" t="s">
        <v>2758</v>
      </c>
      <c r="Y35" s="5" t="s">
        <v>2</v>
      </c>
      <c r="Z35" s="5" t="s">
        <v>2293</v>
      </c>
      <c r="AA35" s="5" t="s">
        <v>1941</v>
      </c>
      <c r="AB35" s="21" t="s">
        <v>2</v>
      </c>
      <c r="AC35" s="54" t="s">
        <v>4179</v>
      </c>
    </row>
    <row r="36" spans="2:29" x14ac:dyDescent="0.3">
      <c r="B36" s="7" t="s">
        <v>2744</v>
      </c>
      <c r="C36" s="1" t="s">
        <v>2744</v>
      </c>
      <c r="D36" s="8" t="s">
        <v>2744</v>
      </c>
      <c r="E36" s="1" t="s">
        <v>2744</v>
      </c>
      <c r="F36" s="22" t="s">
        <v>2744</v>
      </c>
      <c r="G36" s="1" t="s">
        <v>2744</v>
      </c>
      <c r="H36" s="1" t="s">
        <v>2744</v>
      </c>
      <c r="I36" s="1" t="s">
        <v>2744</v>
      </c>
      <c r="J36" s="1" t="s">
        <v>2744</v>
      </c>
      <c r="K36" s="1" t="s">
        <v>2744</v>
      </c>
      <c r="L36" s="1" t="s">
        <v>2744</v>
      </c>
      <c r="M36" s="1" t="s">
        <v>2744</v>
      </c>
      <c r="N36" s="1" t="s">
        <v>2744</v>
      </c>
      <c r="O36" s="1" t="s">
        <v>2744</v>
      </c>
      <c r="P36" s="1" t="s">
        <v>2744</v>
      </c>
      <c r="Q36" s="1" t="s">
        <v>2744</v>
      </c>
      <c r="R36" s="1" t="s">
        <v>2744</v>
      </c>
      <c r="S36" s="1" t="s">
        <v>2744</v>
      </c>
      <c r="T36" s="1" t="s">
        <v>2744</v>
      </c>
      <c r="U36" s="1" t="s">
        <v>2744</v>
      </c>
      <c r="V36" s="1" t="s">
        <v>2744</v>
      </c>
      <c r="W36" s="22" t="s">
        <v>2744</v>
      </c>
      <c r="X36" s="1" t="s">
        <v>2744</v>
      </c>
      <c r="Y36" s="1" t="s">
        <v>2744</v>
      </c>
      <c r="Z36" s="1" t="s">
        <v>2744</v>
      </c>
      <c r="AA36" s="1" t="s">
        <v>2744</v>
      </c>
      <c r="AB36" s="1" t="s">
        <v>2744</v>
      </c>
      <c r="AC36" s="1" t="s">
        <v>2744</v>
      </c>
    </row>
    <row r="37" spans="2:29" ht="28" x14ac:dyDescent="0.3">
      <c r="B37" s="19" t="s">
        <v>523</v>
      </c>
      <c r="C37" s="17" t="s">
        <v>706</v>
      </c>
      <c r="D37" s="16"/>
      <c r="E37" s="2"/>
      <c r="F37" s="29"/>
      <c r="G37" s="2"/>
      <c r="H37" s="2"/>
      <c r="I37" s="3">
        <f>SUM(GMIC_22A_SCDPT4!SCDPT4_090BEGINNG_7:GMIC_22A_SCDPT4!SCDPT4_090ENDINGG_7)</f>
        <v>25267209</v>
      </c>
      <c r="J37" s="3">
        <f>SUM(GMIC_22A_SCDPT4!SCDPT4_090BEGINNG_8:GMIC_22A_SCDPT4!SCDPT4_090ENDINGG_8)</f>
        <v>25900000</v>
      </c>
      <c r="K37" s="3">
        <f>SUM(GMIC_22A_SCDPT4!SCDPT4_090BEGINNG_9:GMIC_22A_SCDPT4!SCDPT4_090ENDINGG_9)</f>
        <v>24383895</v>
      </c>
      <c r="L37" s="3">
        <f>SUM(GMIC_22A_SCDPT4!SCDPT4_090BEGINNG_10:GMIC_22A_SCDPT4!SCDPT4_090ENDINGG_10)</f>
        <v>25097216</v>
      </c>
      <c r="M37" s="3">
        <f>SUM(GMIC_22A_SCDPT4!SCDPT4_090BEGINNG_11:GMIC_22A_SCDPT4!SCDPT4_090ENDINGG_11)</f>
        <v>0</v>
      </c>
      <c r="N37" s="3">
        <f>SUM(GMIC_22A_SCDPT4!SCDPT4_090BEGINNG_12:GMIC_22A_SCDPT4!SCDPT4_090ENDINGG_12)</f>
        <v>113858</v>
      </c>
      <c r="O37" s="3">
        <f>SUM(GMIC_22A_SCDPT4!SCDPT4_090BEGINNG_13:GMIC_22A_SCDPT4!SCDPT4_090ENDINGG_13)</f>
        <v>0</v>
      </c>
      <c r="P37" s="3">
        <f>SUM(GMIC_22A_SCDPT4!SCDPT4_090BEGINNG_14:GMIC_22A_SCDPT4!SCDPT4_090ENDINGG_14)</f>
        <v>113858</v>
      </c>
      <c r="Q37" s="3">
        <f>SUM(GMIC_22A_SCDPT4!SCDPT4_090BEGINNG_15:GMIC_22A_SCDPT4!SCDPT4_090ENDINGG_15)</f>
        <v>0</v>
      </c>
      <c r="R37" s="3">
        <f>SUM(GMIC_22A_SCDPT4!SCDPT4_090BEGINNG_16:GMIC_22A_SCDPT4!SCDPT4_090ENDINGG_16)</f>
        <v>25211072</v>
      </c>
      <c r="S37" s="3">
        <f>SUM(GMIC_22A_SCDPT4!SCDPT4_090BEGINNG_17:GMIC_22A_SCDPT4!SCDPT4_090ENDINGG_17)</f>
        <v>0</v>
      </c>
      <c r="T37" s="3">
        <f>SUM(GMIC_22A_SCDPT4!SCDPT4_090BEGINNG_18:GMIC_22A_SCDPT4!SCDPT4_090ENDINGG_18)</f>
        <v>56136</v>
      </c>
      <c r="U37" s="3">
        <f>SUM(GMIC_22A_SCDPT4!SCDPT4_090BEGINNG_19:GMIC_22A_SCDPT4!SCDPT4_090ENDINGG_19)</f>
        <v>56136</v>
      </c>
      <c r="V37" s="3">
        <f>SUM(GMIC_22A_SCDPT4!SCDPT4_090BEGINNG_20:GMIC_22A_SCDPT4!SCDPT4_090ENDINGG_20)</f>
        <v>270757</v>
      </c>
      <c r="W37" s="29"/>
      <c r="X37" s="2"/>
      <c r="Y37" s="2"/>
      <c r="Z37" s="2"/>
      <c r="AA37" s="2"/>
      <c r="AB37" s="2"/>
      <c r="AC37" s="2"/>
    </row>
    <row r="38" spans="2:29" x14ac:dyDescent="0.3">
      <c r="B38" s="7" t="s">
        <v>2744</v>
      </c>
      <c r="C38" s="1" t="s">
        <v>2744</v>
      </c>
      <c r="D38" s="8" t="s">
        <v>2744</v>
      </c>
      <c r="E38" s="1" t="s">
        <v>2744</v>
      </c>
      <c r="F38" s="22" t="s">
        <v>2744</v>
      </c>
      <c r="G38" s="1" t="s">
        <v>2744</v>
      </c>
      <c r="H38" s="1" t="s">
        <v>2744</v>
      </c>
      <c r="I38" s="1" t="s">
        <v>2744</v>
      </c>
      <c r="J38" s="1" t="s">
        <v>2744</v>
      </c>
      <c r="K38" s="1" t="s">
        <v>2744</v>
      </c>
      <c r="L38" s="1" t="s">
        <v>2744</v>
      </c>
      <c r="M38" s="1" t="s">
        <v>2744</v>
      </c>
      <c r="N38" s="1" t="s">
        <v>2744</v>
      </c>
      <c r="O38" s="1" t="s">
        <v>2744</v>
      </c>
      <c r="P38" s="1" t="s">
        <v>2744</v>
      </c>
      <c r="Q38" s="1" t="s">
        <v>2744</v>
      </c>
      <c r="R38" s="1" t="s">
        <v>2744</v>
      </c>
      <c r="S38" s="1" t="s">
        <v>2744</v>
      </c>
      <c r="T38" s="1" t="s">
        <v>2744</v>
      </c>
      <c r="U38" s="1" t="s">
        <v>2744</v>
      </c>
      <c r="V38" s="1" t="s">
        <v>2744</v>
      </c>
      <c r="W38" s="22" t="s">
        <v>2744</v>
      </c>
      <c r="X38" s="1" t="s">
        <v>2744</v>
      </c>
      <c r="Y38" s="1" t="s">
        <v>2744</v>
      </c>
      <c r="Z38" s="1" t="s">
        <v>2744</v>
      </c>
      <c r="AA38" s="1" t="s">
        <v>2744</v>
      </c>
      <c r="AB38" s="1" t="s">
        <v>2744</v>
      </c>
      <c r="AC38" s="1" t="s">
        <v>2744</v>
      </c>
    </row>
    <row r="39" spans="2:29" x14ac:dyDescent="0.3">
      <c r="B39" s="18" t="s">
        <v>2978</v>
      </c>
      <c r="C39" s="47" t="s">
        <v>1365</v>
      </c>
      <c r="D39" s="15" t="s">
        <v>2493</v>
      </c>
      <c r="E39" s="20" t="s">
        <v>2</v>
      </c>
      <c r="F39" s="14">
        <v>44834</v>
      </c>
      <c r="G39" s="5" t="s">
        <v>466</v>
      </c>
      <c r="H39" s="2"/>
      <c r="I39" s="4">
        <v>10000000</v>
      </c>
      <c r="J39" s="4">
        <v>10000000</v>
      </c>
      <c r="K39" s="4">
        <v>9874350</v>
      </c>
      <c r="L39" s="4">
        <v>9936148</v>
      </c>
      <c r="M39" s="4">
        <v>0</v>
      </c>
      <c r="N39" s="4">
        <v>15947</v>
      </c>
      <c r="O39" s="4">
        <v>0</v>
      </c>
      <c r="P39" s="3">
        <f>GMIC_22A_SCDPT4!SCDPT4_1100000001_11+GMIC_22A_SCDPT4!SCDPT4_1100000001_12-GMIC_22A_SCDPT4!SCDPT4_1100000001_13</f>
        <v>15947</v>
      </c>
      <c r="Q39" s="4">
        <v>0</v>
      </c>
      <c r="R39" s="4">
        <v>9952096</v>
      </c>
      <c r="S39" s="4">
        <v>0</v>
      </c>
      <c r="T39" s="4">
        <v>47904</v>
      </c>
      <c r="U39" s="3">
        <f>GMIC_22A_SCDPT4!SCDPT4_1100000001_17+GMIC_22A_SCDPT4!SCDPT4_1100000001_18</f>
        <v>47904</v>
      </c>
      <c r="V39" s="4">
        <v>317188</v>
      </c>
      <c r="W39" s="14">
        <v>45611</v>
      </c>
      <c r="X39" s="2"/>
      <c r="Y39" s="5" t="s">
        <v>2</v>
      </c>
      <c r="Z39" s="5" t="s">
        <v>215</v>
      </c>
      <c r="AA39" s="5" t="s">
        <v>2</v>
      </c>
      <c r="AB39" s="21" t="s">
        <v>2</v>
      </c>
      <c r="AC39" s="26" t="s">
        <v>4179</v>
      </c>
    </row>
    <row r="40" spans="2:29" x14ac:dyDescent="0.3">
      <c r="B40" s="18" t="s">
        <v>4120</v>
      </c>
      <c r="C40" s="47" t="s">
        <v>2701</v>
      </c>
      <c r="D40" s="15" t="s">
        <v>1101</v>
      </c>
      <c r="E40" s="55" t="s">
        <v>2</v>
      </c>
      <c r="F40" s="14">
        <v>44824</v>
      </c>
      <c r="G40" s="5" t="s">
        <v>4461</v>
      </c>
      <c r="H40" s="2"/>
      <c r="I40" s="4">
        <v>4997500</v>
      </c>
      <c r="J40" s="4">
        <v>5000000</v>
      </c>
      <c r="K40" s="4">
        <v>4816450</v>
      </c>
      <c r="L40" s="4">
        <v>4901339</v>
      </c>
      <c r="M40" s="4">
        <v>0</v>
      </c>
      <c r="N40" s="4">
        <v>21191</v>
      </c>
      <c r="O40" s="4">
        <v>0</v>
      </c>
      <c r="P40" s="24">
        <v>21191</v>
      </c>
      <c r="Q40" s="4">
        <v>0</v>
      </c>
      <c r="R40" s="4">
        <v>4922530</v>
      </c>
      <c r="S40" s="4">
        <v>0</v>
      </c>
      <c r="T40" s="4">
        <v>74970</v>
      </c>
      <c r="U40" s="24">
        <v>74970</v>
      </c>
      <c r="V40" s="4">
        <v>165660</v>
      </c>
      <c r="W40" s="14">
        <v>45733</v>
      </c>
      <c r="X40" s="2"/>
      <c r="Y40" s="5" t="s">
        <v>2</v>
      </c>
      <c r="Z40" s="5" t="s">
        <v>215</v>
      </c>
      <c r="AA40" s="5" t="s">
        <v>1102</v>
      </c>
      <c r="AB40" s="21" t="s">
        <v>2</v>
      </c>
      <c r="AC40" s="54" t="s">
        <v>4179</v>
      </c>
    </row>
    <row r="41" spans="2:29" x14ac:dyDescent="0.3">
      <c r="B41" s="18" t="s">
        <v>707</v>
      </c>
      <c r="C41" s="47" t="s">
        <v>4140</v>
      </c>
      <c r="D41" s="15" t="s">
        <v>4141</v>
      </c>
      <c r="E41" s="55" t="s">
        <v>2</v>
      </c>
      <c r="F41" s="14">
        <v>44635</v>
      </c>
      <c r="G41" s="5" t="s">
        <v>730</v>
      </c>
      <c r="H41" s="2"/>
      <c r="I41" s="4">
        <v>5000000</v>
      </c>
      <c r="J41" s="4">
        <v>5000000</v>
      </c>
      <c r="K41" s="4">
        <v>5093800</v>
      </c>
      <c r="L41" s="4">
        <v>5003475</v>
      </c>
      <c r="M41" s="4">
        <v>0</v>
      </c>
      <c r="N41" s="4">
        <v>-3475</v>
      </c>
      <c r="O41" s="4">
        <v>0</v>
      </c>
      <c r="P41" s="24">
        <v>-3475</v>
      </c>
      <c r="Q41" s="4">
        <v>0</v>
      </c>
      <c r="R41" s="4">
        <v>5000000</v>
      </c>
      <c r="S41" s="4">
        <v>0</v>
      </c>
      <c r="T41" s="4">
        <v>0</v>
      </c>
      <c r="U41" s="24">
        <v>0</v>
      </c>
      <c r="V41" s="4">
        <v>63750</v>
      </c>
      <c r="W41" s="14">
        <v>44635</v>
      </c>
      <c r="X41" s="2"/>
      <c r="Y41" s="5" t="s">
        <v>2494</v>
      </c>
      <c r="Z41" s="5" t="s">
        <v>4142</v>
      </c>
      <c r="AA41" s="5" t="s">
        <v>2</v>
      </c>
      <c r="AB41" s="21" t="s">
        <v>2</v>
      </c>
      <c r="AC41" s="54" t="s">
        <v>4179</v>
      </c>
    </row>
    <row r="42" spans="2:29" x14ac:dyDescent="0.3">
      <c r="B42" s="18" t="s">
        <v>1845</v>
      </c>
      <c r="C42" s="47" t="s">
        <v>732</v>
      </c>
      <c r="D42" s="15" t="s">
        <v>1866</v>
      </c>
      <c r="E42" s="55" t="s">
        <v>2</v>
      </c>
      <c r="F42" s="14">
        <v>44650</v>
      </c>
      <c r="G42" s="5" t="s">
        <v>1581</v>
      </c>
      <c r="H42" s="2"/>
      <c r="I42" s="4">
        <v>3014760</v>
      </c>
      <c r="J42" s="4">
        <v>3000000</v>
      </c>
      <c r="K42" s="4">
        <v>3054690</v>
      </c>
      <c r="L42" s="4">
        <v>3010929</v>
      </c>
      <c r="M42" s="4">
        <v>0</v>
      </c>
      <c r="N42" s="4">
        <v>-2231</v>
      </c>
      <c r="O42" s="4">
        <v>0</v>
      </c>
      <c r="P42" s="24">
        <v>-2231</v>
      </c>
      <c r="Q42" s="4">
        <v>0</v>
      </c>
      <c r="R42" s="4">
        <v>3008698</v>
      </c>
      <c r="S42" s="4">
        <v>0</v>
      </c>
      <c r="T42" s="4">
        <v>6062</v>
      </c>
      <c r="U42" s="24">
        <v>6062</v>
      </c>
      <c r="V42" s="4">
        <v>32538</v>
      </c>
      <c r="W42" s="14">
        <v>45060</v>
      </c>
      <c r="X42" s="2"/>
      <c r="Y42" s="5" t="s">
        <v>1187</v>
      </c>
      <c r="Z42" s="5" t="s">
        <v>1649</v>
      </c>
      <c r="AA42" s="5" t="s">
        <v>2</v>
      </c>
      <c r="AB42" s="21" t="s">
        <v>2</v>
      </c>
      <c r="AC42" s="54" t="s">
        <v>4179</v>
      </c>
    </row>
    <row r="43" spans="2:29" x14ac:dyDescent="0.3">
      <c r="B43" s="18" t="s">
        <v>2980</v>
      </c>
      <c r="C43" s="47" t="s">
        <v>1366</v>
      </c>
      <c r="D43" s="15" t="s">
        <v>3004</v>
      </c>
      <c r="E43" s="55" t="s">
        <v>2</v>
      </c>
      <c r="F43" s="14">
        <v>44670</v>
      </c>
      <c r="G43" s="5" t="s">
        <v>1867</v>
      </c>
      <c r="H43" s="2"/>
      <c r="I43" s="4">
        <v>3007110</v>
      </c>
      <c r="J43" s="4">
        <v>3000000</v>
      </c>
      <c r="K43" s="4">
        <v>2965320</v>
      </c>
      <c r="L43" s="4">
        <v>2991342</v>
      </c>
      <c r="M43" s="4">
        <v>0</v>
      </c>
      <c r="N43" s="4">
        <v>3007</v>
      </c>
      <c r="O43" s="4">
        <v>0</v>
      </c>
      <c r="P43" s="24">
        <v>3007</v>
      </c>
      <c r="Q43" s="4">
        <v>0</v>
      </c>
      <c r="R43" s="4">
        <v>2994348</v>
      </c>
      <c r="S43" s="4">
        <v>0</v>
      </c>
      <c r="T43" s="4">
        <v>12762</v>
      </c>
      <c r="U43" s="24">
        <v>12762</v>
      </c>
      <c r="V43" s="4">
        <v>35750</v>
      </c>
      <c r="W43" s="14">
        <v>44880</v>
      </c>
      <c r="X43" s="2"/>
      <c r="Y43" s="5" t="s">
        <v>471</v>
      </c>
      <c r="Z43" s="5" t="s">
        <v>4493</v>
      </c>
      <c r="AA43" s="5" t="s">
        <v>4493</v>
      </c>
      <c r="AB43" s="21" t="s">
        <v>2</v>
      </c>
      <c r="AC43" s="54" t="s">
        <v>4179</v>
      </c>
    </row>
    <row r="44" spans="2:29" x14ac:dyDescent="0.3">
      <c r="B44" s="18" t="s">
        <v>4121</v>
      </c>
      <c r="C44" s="47" t="s">
        <v>216</v>
      </c>
      <c r="D44" s="15" t="s">
        <v>1103</v>
      </c>
      <c r="E44" s="55" t="s">
        <v>2</v>
      </c>
      <c r="F44" s="14">
        <v>44790</v>
      </c>
      <c r="G44" s="5" t="s">
        <v>200</v>
      </c>
      <c r="H44" s="2"/>
      <c r="I44" s="4">
        <v>4966150</v>
      </c>
      <c r="J44" s="4">
        <v>5000000</v>
      </c>
      <c r="K44" s="4">
        <v>4992700</v>
      </c>
      <c r="L44" s="4">
        <v>4998369</v>
      </c>
      <c r="M44" s="4">
        <v>0</v>
      </c>
      <c r="N44" s="4">
        <v>702</v>
      </c>
      <c r="O44" s="4">
        <v>0</v>
      </c>
      <c r="P44" s="24">
        <v>702</v>
      </c>
      <c r="Q44" s="4">
        <v>0</v>
      </c>
      <c r="R44" s="4">
        <v>4999072</v>
      </c>
      <c r="S44" s="4">
        <v>0</v>
      </c>
      <c r="T44" s="4">
        <v>-32922</v>
      </c>
      <c r="U44" s="24">
        <v>-32922</v>
      </c>
      <c r="V44" s="4">
        <v>94889</v>
      </c>
      <c r="W44" s="14">
        <v>45092</v>
      </c>
      <c r="X44" s="2"/>
      <c r="Y44" s="5" t="s">
        <v>471</v>
      </c>
      <c r="Z44" s="5" t="s">
        <v>4493</v>
      </c>
      <c r="AA44" s="5" t="s">
        <v>2</v>
      </c>
      <c r="AB44" s="21" t="s">
        <v>2</v>
      </c>
      <c r="AC44" s="54" t="s">
        <v>4179</v>
      </c>
    </row>
    <row r="45" spans="2:29" x14ac:dyDescent="0.3">
      <c r="B45" s="18" t="s">
        <v>708</v>
      </c>
      <c r="C45" s="47" t="s">
        <v>3356</v>
      </c>
      <c r="D45" s="15" t="s">
        <v>3863</v>
      </c>
      <c r="E45" s="55" t="s">
        <v>2</v>
      </c>
      <c r="F45" s="14">
        <v>44672</v>
      </c>
      <c r="G45" s="5" t="s">
        <v>1060</v>
      </c>
      <c r="H45" s="2"/>
      <c r="I45" s="4">
        <v>3000015</v>
      </c>
      <c r="J45" s="4">
        <v>3000000</v>
      </c>
      <c r="K45" s="4">
        <v>3002594</v>
      </c>
      <c r="L45" s="4">
        <v>3001356</v>
      </c>
      <c r="M45" s="4">
        <v>0</v>
      </c>
      <c r="N45" s="4">
        <v>-225</v>
      </c>
      <c r="O45" s="4">
        <v>0</v>
      </c>
      <c r="P45" s="24">
        <v>-225</v>
      </c>
      <c r="Q45" s="4">
        <v>0</v>
      </c>
      <c r="R45" s="4">
        <v>3001131</v>
      </c>
      <c r="S45" s="4">
        <v>0</v>
      </c>
      <c r="T45" s="4">
        <v>-1116</v>
      </c>
      <c r="U45" s="24">
        <v>-1116</v>
      </c>
      <c r="V45" s="4">
        <v>55300</v>
      </c>
      <c r="W45" s="14">
        <v>45526</v>
      </c>
      <c r="X45" s="2"/>
      <c r="Y45" s="5" t="s">
        <v>2702</v>
      </c>
      <c r="Z45" s="5" t="s">
        <v>3005</v>
      </c>
      <c r="AA45" s="5" t="s">
        <v>2</v>
      </c>
      <c r="AB45" s="21" t="s">
        <v>2</v>
      </c>
      <c r="AC45" s="54" t="s">
        <v>4179</v>
      </c>
    </row>
    <row r="46" spans="2:29" x14ac:dyDescent="0.3">
      <c r="B46" s="18" t="s">
        <v>2180</v>
      </c>
      <c r="C46" s="47" t="s">
        <v>3777</v>
      </c>
      <c r="D46" s="15" t="s">
        <v>4406</v>
      </c>
      <c r="E46" s="55" t="s">
        <v>2</v>
      </c>
      <c r="F46" s="14">
        <v>44849</v>
      </c>
      <c r="G46" s="5" t="s">
        <v>1060</v>
      </c>
      <c r="H46" s="2"/>
      <c r="I46" s="4">
        <v>447108</v>
      </c>
      <c r="J46" s="4">
        <v>447108</v>
      </c>
      <c r="K46" s="4">
        <v>438652</v>
      </c>
      <c r="L46" s="4">
        <v>440746</v>
      </c>
      <c r="M46" s="4">
        <v>0</v>
      </c>
      <c r="N46" s="4">
        <v>6363</v>
      </c>
      <c r="O46" s="4">
        <v>0</v>
      </c>
      <c r="P46" s="24">
        <v>6363</v>
      </c>
      <c r="Q46" s="4">
        <v>0</v>
      </c>
      <c r="R46" s="4">
        <v>447108</v>
      </c>
      <c r="S46" s="4">
        <v>0</v>
      </c>
      <c r="T46" s="4">
        <v>0</v>
      </c>
      <c r="U46" s="24">
        <v>0</v>
      </c>
      <c r="V46" s="4">
        <v>10032</v>
      </c>
      <c r="W46" s="14">
        <v>47041</v>
      </c>
      <c r="X46" s="2"/>
      <c r="Y46" s="5" t="s">
        <v>2</v>
      </c>
      <c r="Z46" s="5" t="s">
        <v>3264</v>
      </c>
      <c r="AA46" s="5" t="s">
        <v>3264</v>
      </c>
      <c r="AB46" s="21" t="s">
        <v>2</v>
      </c>
      <c r="AC46" s="54" t="s">
        <v>4179</v>
      </c>
    </row>
    <row r="47" spans="2:29" x14ac:dyDescent="0.3">
      <c r="B47" s="18" t="s">
        <v>3311</v>
      </c>
      <c r="C47" s="47" t="s">
        <v>3357</v>
      </c>
      <c r="D47" s="15" t="s">
        <v>1590</v>
      </c>
      <c r="E47" s="55" t="s">
        <v>2</v>
      </c>
      <c r="F47" s="14">
        <v>44670</v>
      </c>
      <c r="G47" s="5" t="s">
        <v>920</v>
      </c>
      <c r="H47" s="2"/>
      <c r="I47" s="4">
        <v>2007360</v>
      </c>
      <c r="J47" s="4">
        <v>2000000</v>
      </c>
      <c r="K47" s="4">
        <v>1990660</v>
      </c>
      <c r="L47" s="4">
        <v>1997586</v>
      </c>
      <c r="M47" s="4">
        <v>0</v>
      </c>
      <c r="N47" s="4">
        <v>796</v>
      </c>
      <c r="O47" s="4">
        <v>0</v>
      </c>
      <c r="P47" s="24">
        <v>796</v>
      </c>
      <c r="Q47" s="4">
        <v>0</v>
      </c>
      <c r="R47" s="4">
        <v>1998382</v>
      </c>
      <c r="S47" s="4">
        <v>0</v>
      </c>
      <c r="T47" s="4">
        <v>8978</v>
      </c>
      <c r="U47" s="24">
        <v>8978</v>
      </c>
      <c r="V47" s="4">
        <v>20464</v>
      </c>
      <c r="W47" s="14">
        <v>44897</v>
      </c>
      <c r="X47" s="2"/>
      <c r="Y47" s="5" t="s">
        <v>294</v>
      </c>
      <c r="Z47" s="5" t="s">
        <v>1431</v>
      </c>
      <c r="AA47" s="5" t="s">
        <v>1431</v>
      </c>
      <c r="AB47" s="21" t="s">
        <v>2</v>
      </c>
      <c r="AC47" s="54" t="s">
        <v>4179</v>
      </c>
    </row>
    <row r="48" spans="2:29" x14ac:dyDescent="0.3">
      <c r="B48" s="18" t="s">
        <v>709</v>
      </c>
      <c r="C48" s="47" t="s">
        <v>3357</v>
      </c>
      <c r="D48" s="15" t="s">
        <v>1590</v>
      </c>
      <c r="E48" s="55" t="s">
        <v>2</v>
      </c>
      <c r="F48" s="14">
        <v>44897</v>
      </c>
      <c r="G48" s="5" t="s">
        <v>730</v>
      </c>
      <c r="H48" s="2"/>
      <c r="I48" s="4">
        <v>2000000</v>
      </c>
      <c r="J48" s="4">
        <v>2000000</v>
      </c>
      <c r="K48" s="4">
        <v>1990660</v>
      </c>
      <c r="L48" s="4">
        <v>1997586</v>
      </c>
      <c r="M48" s="4">
        <v>0</v>
      </c>
      <c r="N48" s="4">
        <v>2414</v>
      </c>
      <c r="O48" s="4">
        <v>0</v>
      </c>
      <c r="P48" s="24">
        <v>2414</v>
      </c>
      <c r="Q48" s="4">
        <v>0</v>
      </c>
      <c r="R48" s="4">
        <v>2000000</v>
      </c>
      <c r="S48" s="4">
        <v>0</v>
      </c>
      <c r="T48" s="4">
        <v>0</v>
      </c>
      <c r="U48" s="24">
        <v>0</v>
      </c>
      <c r="V48" s="4">
        <v>53000</v>
      </c>
      <c r="W48" s="14">
        <v>44897</v>
      </c>
      <c r="X48" s="2"/>
      <c r="Y48" s="5" t="s">
        <v>294</v>
      </c>
      <c r="Z48" s="5" t="s">
        <v>1431</v>
      </c>
      <c r="AA48" s="5" t="s">
        <v>1431</v>
      </c>
      <c r="AB48" s="21" t="s">
        <v>2</v>
      </c>
      <c r="AC48" s="54" t="s">
        <v>4179</v>
      </c>
    </row>
    <row r="49" spans="2:29" x14ac:dyDescent="0.3">
      <c r="B49" s="18" t="s">
        <v>1847</v>
      </c>
      <c r="C49" s="47" t="s">
        <v>3864</v>
      </c>
      <c r="D49" s="15" t="s">
        <v>3358</v>
      </c>
      <c r="E49" s="55" t="s">
        <v>2</v>
      </c>
      <c r="F49" s="14">
        <v>44662</v>
      </c>
      <c r="G49" s="5" t="s">
        <v>1060</v>
      </c>
      <c r="H49" s="2"/>
      <c r="I49" s="4">
        <v>3021930</v>
      </c>
      <c r="J49" s="4">
        <v>3000000</v>
      </c>
      <c r="K49" s="4">
        <v>3109370</v>
      </c>
      <c r="L49" s="4">
        <v>3021711</v>
      </c>
      <c r="M49" s="4">
        <v>0</v>
      </c>
      <c r="N49" s="4">
        <v>-5640</v>
      </c>
      <c r="O49" s="4">
        <v>0</v>
      </c>
      <c r="P49" s="24">
        <v>-5640</v>
      </c>
      <c r="Q49" s="4">
        <v>0</v>
      </c>
      <c r="R49" s="4">
        <v>3016071</v>
      </c>
      <c r="S49" s="4">
        <v>0</v>
      </c>
      <c r="T49" s="4">
        <v>5859</v>
      </c>
      <c r="U49" s="24">
        <v>5859</v>
      </c>
      <c r="V49" s="4">
        <v>73792</v>
      </c>
      <c r="W49" s="14">
        <v>44957</v>
      </c>
      <c r="X49" s="2"/>
      <c r="Y49" s="5" t="s">
        <v>827</v>
      </c>
      <c r="Z49" s="5" t="s">
        <v>40</v>
      </c>
      <c r="AA49" s="5" t="s">
        <v>2</v>
      </c>
      <c r="AB49" s="21" t="s">
        <v>2</v>
      </c>
      <c r="AC49" s="54" t="s">
        <v>4179</v>
      </c>
    </row>
    <row r="50" spans="2:29" x14ac:dyDescent="0.3">
      <c r="B50" s="18" t="s">
        <v>2982</v>
      </c>
      <c r="C50" s="47" t="s">
        <v>3359</v>
      </c>
      <c r="D50" s="15" t="s">
        <v>2703</v>
      </c>
      <c r="E50" s="55" t="s">
        <v>2</v>
      </c>
      <c r="F50" s="14">
        <v>44810</v>
      </c>
      <c r="G50" s="5" t="s">
        <v>200</v>
      </c>
      <c r="H50" s="2"/>
      <c r="I50" s="4">
        <v>4973800</v>
      </c>
      <c r="J50" s="4">
        <v>5000000</v>
      </c>
      <c r="K50" s="4">
        <v>4934250</v>
      </c>
      <c r="L50" s="4">
        <v>4969473</v>
      </c>
      <c r="M50" s="4">
        <v>0</v>
      </c>
      <c r="N50" s="4">
        <v>8479</v>
      </c>
      <c r="O50" s="4">
        <v>0</v>
      </c>
      <c r="P50" s="24">
        <v>8479</v>
      </c>
      <c r="Q50" s="4">
        <v>0</v>
      </c>
      <c r="R50" s="4">
        <v>4977952</v>
      </c>
      <c r="S50" s="4">
        <v>0</v>
      </c>
      <c r="T50" s="4">
        <v>-4152</v>
      </c>
      <c r="U50" s="24">
        <v>-4152</v>
      </c>
      <c r="V50" s="4">
        <v>143993</v>
      </c>
      <c r="W50" s="14">
        <v>45434</v>
      </c>
      <c r="X50" s="2"/>
      <c r="Y50" s="5" t="s">
        <v>41</v>
      </c>
      <c r="Z50" s="5" t="s">
        <v>296</v>
      </c>
      <c r="AA50" s="5" t="s">
        <v>2</v>
      </c>
      <c r="AB50" s="21" t="s">
        <v>2</v>
      </c>
      <c r="AC50" s="54" t="s">
        <v>4179</v>
      </c>
    </row>
    <row r="51" spans="2:29" x14ac:dyDescent="0.3">
      <c r="B51" s="18" t="s">
        <v>4122</v>
      </c>
      <c r="C51" s="47" t="s">
        <v>3006</v>
      </c>
      <c r="D51" s="15" t="s">
        <v>733</v>
      </c>
      <c r="E51" s="55" t="s">
        <v>2</v>
      </c>
      <c r="F51" s="14">
        <v>44672</v>
      </c>
      <c r="G51" s="5" t="s">
        <v>4454</v>
      </c>
      <c r="H51" s="2"/>
      <c r="I51" s="4">
        <v>4810656</v>
      </c>
      <c r="J51" s="4">
        <v>4800000</v>
      </c>
      <c r="K51" s="4">
        <v>4797888</v>
      </c>
      <c r="L51" s="4">
        <v>4799318</v>
      </c>
      <c r="M51" s="4">
        <v>0</v>
      </c>
      <c r="N51" s="4">
        <v>100</v>
      </c>
      <c r="O51" s="4">
        <v>0</v>
      </c>
      <c r="P51" s="24">
        <v>100</v>
      </c>
      <c r="Q51" s="4">
        <v>0</v>
      </c>
      <c r="R51" s="4">
        <v>4799418</v>
      </c>
      <c r="S51" s="4">
        <v>0</v>
      </c>
      <c r="T51" s="4">
        <v>11238</v>
      </c>
      <c r="U51" s="24">
        <v>11238</v>
      </c>
      <c r="V51" s="4">
        <v>102400</v>
      </c>
      <c r="W51" s="14">
        <v>45331</v>
      </c>
      <c r="X51" s="2"/>
      <c r="Y51" s="5" t="s">
        <v>297</v>
      </c>
      <c r="Z51" s="5" t="s">
        <v>2309</v>
      </c>
      <c r="AA51" s="5" t="s">
        <v>2</v>
      </c>
      <c r="AB51" s="21" t="s">
        <v>2</v>
      </c>
      <c r="AC51" s="54" t="s">
        <v>4179</v>
      </c>
    </row>
    <row r="52" spans="2:29" x14ac:dyDescent="0.3">
      <c r="B52" s="18" t="s">
        <v>710</v>
      </c>
      <c r="C52" s="47" t="s">
        <v>649</v>
      </c>
      <c r="D52" s="15" t="s">
        <v>2135</v>
      </c>
      <c r="E52" s="55" t="s">
        <v>2</v>
      </c>
      <c r="F52" s="14">
        <v>44864</v>
      </c>
      <c r="G52" s="5" t="s">
        <v>2704</v>
      </c>
      <c r="H52" s="2"/>
      <c r="I52" s="4">
        <v>75000</v>
      </c>
      <c r="J52" s="4">
        <v>75000</v>
      </c>
      <c r="K52" s="4">
        <v>75706</v>
      </c>
      <c r="L52" s="4">
        <v>75557</v>
      </c>
      <c r="M52" s="4">
        <v>0</v>
      </c>
      <c r="N52" s="4">
        <v>-557</v>
      </c>
      <c r="O52" s="4">
        <v>0</v>
      </c>
      <c r="P52" s="24">
        <v>-557</v>
      </c>
      <c r="Q52" s="4">
        <v>0</v>
      </c>
      <c r="R52" s="4">
        <v>75000</v>
      </c>
      <c r="S52" s="4">
        <v>0</v>
      </c>
      <c r="T52" s="4">
        <v>0</v>
      </c>
      <c r="U52" s="24">
        <v>0</v>
      </c>
      <c r="V52" s="4">
        <v>1517</v>
      </c>
      <c r="W52" s="14">
        <v>54999</v>
      </c>
      <c r="X52" s="2"/>
      <c r="Y52" s="5" t="s">
        <v>2</v>
      </c>
      <c r="Z52" s="5" t="s">
        <v>2430</v>
      </c>
      <c r="AA52" s="5" t="s">
        <v>824</v>
      </c>
      <c r="AB52" s="21" t="s">
        <v>2</v>
      </c>
      <c r="AC52" s="54" t="s">
        <v>4179</v>
      </c>
    </row>
    <row r="53" spans="2:29" x14ac:dyDescent="0.3">
      <c r="B53" s="18" t="s">
        <v>1848</v>
      </c>
      <c r="C53" s="47" t="s">
        <v>3007</v>
      </c>
      <c r="D53" s="15" t="s">
        <v>4494</v>
      </c>
      <c r="E53" s="55" t="s">
        <v>2</v>
      </c>
      <c r="F53" s="14">
        <v>44790</v>
      </c>
      <c r="G53" s="5" t="s">
        <v>2185</v>
      </c>
      <c r="H53" s="2"/>
      <c r="I53" s="4">
        <v>8692650</v>
      </c>
      <c r="J53" s="4">
        <v>9000000</v>
      </c>
      <c r="K53" s="4">
        <v>8258220</v>
      </c>
      <c r="L53" s="4">
        <v>8539080</v>
      </c>
      <c r="M53" s="4">
        <v>0</v>
      </c>
      <c r="N53" s="4">
        <v>58697</v>
      </c>
      <c r="O53" s="4">
        <v>0</v>
      </c>
      <c r="P53" s="24">
        <v>58697</v>
      </c>
      <c r="Q53" s="4">
        <v>0</v>
      </c>
      <c r="R53" s="4">
        <v>8597777</v>
      </c>
      <c r="S53" s="4">
        <v>0</v>
      </c>
      <c r="T53" s="4">
        <v>94873</v>
      </c>
      <c r="U53" s="24">
        <v>94873</v>
      </c>
      <c r="V53" s="4">
        <v>230000</v>
      </c>
      <c r="W53" s="14">
        <v>46245</v>
      </c>
      <c r="X53" s="2"/>
      <c r="Y53" s="5" t="s">
        <v>472</v>
      </c>
      <c r="Z53" s="5" t="s">
        <v>4494</v>
      </c>
      <c r="AA53" s="5" t="s">
        <v>2</v>
      </c>
      <c r="AB53" s="21" t="s">
        <v>2</v>
      </c>
      <c r="AC53" s="54" t="s">
        <v>4179</v>
      </c>
    </row>
    <row r="54" spans="2:29" x14ac:dyDescent="0.3">
      <c r="B54" s="18" t="s">
        <v>2983</v>
      </c>
      <c r="C54" s="47" t="s">
        <v>2219</v>
      </c>
      <c r="D54" s="15" t="s">
        <v>1591</v>
      </c>
      <c r="E54" s="55" t="s">
        <v>2</v>
      </c>
      <c r="F54" s="14">
        <v>44781</v>
      </c>
      <c r="G54" s="5" t="s">
        <v>1060</v>
      </c>
      <c r="H54" s="2"/>
      <c r="I54" s="4">
        <v>11819840</v>
      </c>
      <c r="J54" s="4">
        <v>12000000</v>
      </c>
      <c r="K54" s="4">
        <v>11863420</v>
      </c>
      <c r="L54" s="4">
        <v>11939372</v>
      </c>
      <c r="M54" s="4">
        <v>0</v>
      </c>
      <c r="N54" s="4">
        <v>10596</v>
      </c>
      <c r="O54" s="4">
        <v>0</v>
      </c>
      <c r="P54" s="24">
        <v>10596</v>
      </c>
      <c r="Q54" s="4">
        <v>0</v>
      </c>
      <c r="R54" s="4">
        <v>11949968</v>
      </c>
      <c r="S54" s="4">
        <v>0</v>
      </c>
      <c r="T54" s="4">
        <v>-130128</v>
      </c>
      <c r="U54" s="24">
        <v>-130128</v>
      </c>
      <c r="V54" s="4">
        <v>311276</v>
      </c>
      <c r="W54" s="14">
        <v>45543</v>
      </c>
      <c r="X54" s="2"/>
      <c r="Y54" s="5" t="s">
        <v>2220</v>
      </c>
      <c r="Z54" s="5" t="s">
        <v>3008</v>
      </c>
      <c r="AA54" s="5" t="s">
        <v>2</v>
      </c>
      <c r="AB54" s="21" t="s">
        <v>2</v>
      </c>
      <c r="AC54" s="54" t="s">
        <v>4179</v>
      </c>
    </row>
    <row r="55" spans="2:29" x14ac:dyDescent="0.3">
      <c r="B55" s="18" t="s">
        <v>4455</v>
      </c>
      <c r="C55" s="47" t="s">
        <v>3614</v>
      </c>
      <c r="D55" s="15" t="s">
        <v>2705</v>
      </c>
      <c r="E55" s="55" t="s">
        <v>2</v>
      </c>
      <c r="F55" s="14">
        <v>44586</v>
      </c>
      <c r="G55" s="5" t="s">
        <v>730</v>
      </c>
      <c r="H55" s="2"/>
      <c r="I55" s="4">
        <v>5000000</v>
      </c>
      <c r="J55" s="4">
        <v>5000000</v>
      </c>
      <c r="K55" s="4">
        <v>4998450</v>
      </c>
      <c r="L55" s="4">
        <v>4999977</v>
      </c>
      <c r="M55" s="4">
        <v>0</v>
      </c>
      <c r="N55" s="4">
        <v>23</v>
      </c>
      <c r="O55" s="4">
        <v>0</v>
      </c>
      <c r="P55" s="24">
        <v>23</v>
      </c>
      <c r="Q55" s="4">
        <v>0</v>
      </c>
      <c r="R55" s="4">
        <v>5000000</v>
      </c>
      <c r="S55" s="4">
        <v>0</v>
      </c>
      <c r="T55" s="4">
        <v>0</v>
      </c>
      <c r="U55" s="24">
        <v>0</v>
      </c>
      <c r="V55" s="4">
        <v>100000</v>
      </c>
      <c r="W55" s="14">
        <v>44586</v>
      </c>
      <c r="X55" s="2"/>
      <c r="Y55" s="5" t="s">
        <v>2</v>
      </c>
      <c r="Z55" s="5" t="s">
        <v>3923</v>
      </c>
      <c r="AA55" s="5" t="s">
        <v>2</v>
      </c>
      <c r="AB55" s="21" t="s">
        <v>2</v>
      </c>
      <c r="AC55" s="54" t="s">
        <v>4179</v>
      </c>
    </row>
    <row r="56" spans="2:29" x14ac:dyDescent="0.3">
      <c r="B56" s="18" t="s">
        <v>1059</v>
      </c>
      <c r="C56" s="47" t="s">
        <v>3615</v>
      </c>
      <c r="D56" s="15" t="s">
        <v>2313</v>
      </c>
      <c r="E56" s="55" t="s">
        <v>2</v>
      </c>
      <c r="F56" s="14">
        <v>44743</v>
      </c>
      <c r="G56" s="5" t="s">
        <v>730</v>
      </c>
      <c r="H56" s="2"/>
      <c r="I56" s="4">
        <v>1000000</v>
      </c>
      <c r="J56" s="4">
        <v>1000000</v>
      </c>
      <c r="K56" s="4">
        <v>996580</v>
      </c>
      <c r="L56" s="4">
        <v>999623</v>
      </c>
      <c r="M56" s="4">
        <v>0</v>
      </c>
      <c r="N56" s="4">
        <v>377</v>
      </c>
      <c r="O56" s="4">
        <v>0</v>
      </c>
      <c r="P56" s="24">
        <v>377</v>
      </c>
      <c r="Q56" s="4">
        <v>0</v>
      </c>
      <c r="R56" s="4">
        <v>1000000</v>
      </c>
      <c r="S56" s="4">
        <v>0</v>
      </c>
      <c r="T56" s="4">
        <v>0</v>
      </c>
      <c r="U56" s="24">
        <v>0</v>
      </c>
      <c r="V56" s="4">
        <v>29833</v>
      </c>
      <c r="W56" s="14">
        <v>44743</v>
      </c>
      <c r="X56" s="2"/>
      <c r="Y56" s="5" t="s">
        <v>2</v>
      </c>
      <c r="Z56" s="5" t="s">
        <v>3923</v>
      </c>
      <c r="AA56" s="5" t="s">
        <v>824</v>
      </c>
      <c r="AB56" s="21" t="s">
        <v>2</v>
      </c>
      <c r="AC56" s="54" t="s">
        <v>4179</v>
      </c>
    </row>
    <row r="57" spans="2:29" x14ac:dyDescent="0.3">
      <c r="B57" s="18" t="s">
        <v>2181</v>
      </c>
      <c r="C57" s="47" t="s">
        <v>1192</v>
      </c>
      <c r="D57" s="15" t="s">
        <v>4495</v>
      </c>
      <c r="E57" s="55" t="s">
        <v>2</v>
      </c>
      <c r="F57" s="14">
        <v>44715</v>
      </c>
      <c r="G57" s="5" t="s">
        <v>1058</v>
      </c>
      <c r="H57" s="2"/>
      <c r="I57" s="4">
        <v>4960600</v>
      </c>
      <c r="J57" s="4">
        <v>5000000</v>
      </c>
      <c r="K57" s="4">
        <v>4993800</v>
      </c>
      <c r="L57" s="4">
        <v>4997287</v>
      </c>
      <c r="M57" s="4">
        <v>0</v>
      </c>
      <c r="N57" s="4">
        <v>392</v>
      </c>
      <c r="O57" s="4">
        <v>0</v>
      </c>
      <c r="P57" s="24">
        <v>392</v>
      </c>
      <c r="Q57" s="4">
        <v>0</v>
      </c>
      <c r="R57" s="4">
        <v>4997679</v>
      </c>
      <c r="S57" s="4">
        <v>0</v>
      </c>
      <c r="T57" s="4">
        <v>-37079</v>
      </c>
      <c r="U57" s="24">
        <v>-37079</v>
      </c>
      <c r="V57" s="4">
        <v>98194</v>
      </c>
      <c r="W57" s="14">
        <v>45611</v>
      </c>
      <c r="X57" s="2"/>
      <c r="Y57" s="5" t="s">
        <v>1661</v>
      </c>
      <c r="Z57" s="5" t="s">
        <v>3087</v>
      </c>
      <c r="AA57" s="5" t="s">
        <v>2</v>
      </c>
      <c r="AB57" s="21" t="s">
        <v>2</v>
      </c>
      <c r="AC57" s="54" t="s">
        <v>4179</v>
      </c>
    </row>
    <row r="58" spans="2:29" x14ac:dyDescent="0.3">
      <c r="B58" s="18" t="s">
        <v>4123</v>
      </c>
      <c r="C58" s="47" t="s">
        <v>1516</v>
      </c>
      <c r="D58" s="15" t="s">
        <v>3267</v>
      </c>
      <c r="E58" s="55" t="s">
        <v>2</v>
      </c>
      <c r="F58" s="14">
        <v>44915</v>
      </c>
      <c r="G58" s="5" t="s">
        <v>2704</v>
      </c>
      <c r="H58" s="2"/>
      <c r="I58" s="4">
        <v>1500000</v>
      </c>
      <c r="J58" s="4">
        <v>1500000</v>
      </c>
      <c r="K58" s="4">
        <v>1499323</v>
      </c>
      <c r="L58" s="4">
        <v>1499818</v>
      </c>
      <c r="M58" s="4">
        <v>0</v>
      </c>
      <c r="N58" s="4">
        <v>182</v>
      </c>
      <c r="O58" s="4">
        <v>0</v>
      </c>
      <c r="P58" s="24">
        <v>182</v>
      </c>
      <c r="Q58" s="4">
        <v>0</v>
      </c>
      <c r="R58" s="4">
        <v>1500000</v>
      </c>
      <c r="S58" s="4">
        <v>0</v>
      </c>
      <c r="T58" s="4">
        <v>0</v>
      </c>
      <c r="U58" s="24">
        <v>0</v>
      </c>
      <c r="V58" s="4">
        <v>45788</v>
      </c>
      <c r="W58" s="14">
        <v>45371</v>
      </c>
      <c r="X58" s="2"/>
      <c r="Y58" s="5" t="s">
        <v>2</v>
      </c>
      <c r="Z58" s="5" t="s">
        <v>401</v>
      </c>
      <c r="AA58" s="5" t="s">
        <v>824</v>
      </c>
      <c r="AB58" s="21" t="s">
        <v>2</v>
      </c>
      <c r="AC58" s="54" t="s">
        <v>4179</v>
      </c>
    </row>
    <row r="59" spans="2:29" x14ac:dyDescent="0.3">
      <c r="B59" s="18" t="s">
        <v>711</v>
      </c>
      <c r="C59" s="47" t="s">
        <v>3616</v>
      </c>
      <c r="D59" s="15" t="s">
        <v>1367</v>
      </c>
      <c r="E59" s="55" t="s">
        <v>2</v>
      </c>
      <c r="F59" s="14">
        <v>44581</v>
      </c>
      <c r="G59" s="5" t="s">
        <v>2704</v>
      </c>
      <c r="H59" s="2"/>
      <c r="I59" s="4">
        <v>6304549</v>
      </c>
      <c r="J59" s="4">
        <v>6304549</v>
      </c>
      <c r="K59" s="4">
        <v>6303865</v>
      </c>
      <c r="L59" s="4">
        <v>6304304</v>
      </c>
      <c r="M59" s="4">
        <v>0</v>
      </c>
      <c r="N59" s="4">
        <v>245</v>
      </c>
      <c r="O59" s="4">
        <v>0</v>
      </c>
      <c r="P59" s="24">
        <v>245</v>
      </c>
      <c r="Q59" s="4">
        <v>0</v>
      </c>
      <c r="R59" s="4">
        <v>6304549</v>
      </c>
      <c r="S59" s="4">
        <v>0</v>
      </c>
      <c r="T59" s="4">
        <v>0</v>
      </c>
      <c r="U59" s="24">
        <v>0</v>
      </c>
      <c r="V59" s="4">
        <v>4781</v>
      </c>
      <c r="W59" s="14">
        <v>45889</v>
      </c>
      <c r="X59" s="2"/>
      <c r="Y59" s="5" t="s">
        <v>2</v>
      </c>
      <c r="Z59" s="5" t="s">
        <v>3617</v>
      </c>
      <c r="AA59" s="5" t="s">
        <v>824</v>
      </c>
      <c r="AB59" s="21" t="s">
        <v>2</v>
      </c>
      <c r="AC59" s="54" t="s">
        <v>4179</v>
      </c>
    </row>
    <row r="60" spans="2:29" x14ac:dyDescent="0.3">
      <c r="B60" s="18" t="s">
        <v>1849</v>
      </c>
      <c r="C60" s="47" t="s">
        <v>1308</v>
      </c>
      <c r="D60" s="15" t="s">
        <v>4409</v>
      </c>
      <c r="E60" s="55" t="s">
        <v>2</v>
      </c>
      <c r="F60" s="14">
        <v>44897</v>
      </c>
      <c r="G60" s="5" t="s">
        <v>2704</v>
      </c>
      <c r="H60" s="2"/>
      <c r="I60" s="4">
        <v>88420</v>
      </c>
      <c r="J60" s="4">
        <v>88420</v>
      </c>
      <c r="K60" s="4">
        <v>85878</v>
      </c>
      <c r="L60" s="4">
        <v>87232</v>
      </c>
      <c r="M60" s="4">
        <v>0</v>
      </c>
      <c r="N60" s="4">
        <v>1188</v>
      </c>
      <c r="O60" s="4">
        <v>0</v>
      </c>
      <c r="P60" s="24">
        <v>1188</v>
      </c>
      <c r="Q60" s="4">
        <v>0</v>
      </c>
      <c r="R60" s="4">
        <v>88420</v>
      </c>
      <c r="S60" s="4">
        <v>0</v>
      </c>
      <c r="T60" s="4">
        <v>0</v>
      </c>
      <c r="U60" s="24">
        <v>0</v>
      </c>
      <c r="V60" s="4">
        <v>1348</v>
      </c>
      <c r="W60" s="14">
        <v>47605</v>
      </c>
      <c r="X60" s="2"/>
      <c r="Y60" s="5" t="s">
        <v>2911</v>
      </c>
      <c r="Z60" s="5" t="s">
        <v>1791</v>
      </c>
      <c r="AA60" s="5" t="s">
        <v>824</v>
      </c>
      <c r="AB60" s="21" t="s">
        <v>2</v>
      </c>
      <c r="AC60" s="54" t="s">
        <v>4179</v>
      </c>
    </row>
    <row r="61" spans="2:29" x14ac:dyDescent="0.3">
      <c r="B61" s="18" t="s">
        <v>2985</v>
      </c>
      <c r="C61" s="47" t="s">
        <v>163</v>
      </c>
      <c r="D61" s="15" t="s">
        <v>4047</v>
      </c>
      <c r="E61" s="55" t="s">
        <v>2</v>
      </c>
      <c r="F61" s="14">
        <v>44923</v>
      </c>
      <c r="G61" s="5" t="s">
        <v>2704</v>
      </c>
      <c r="H61" s="2"/>
      <c r="I61" s="4">
        <v>1003855</v>
      </c>
      <c r="J61" s="4">
        <v>1003855</v>
      </c>
      <c r="K61" s="4">
        <v>1003762</v>
      </c>
      <c r="L61" s="4">
        <v>1003774</v>
      </c>
      <c r="M61" s="4">
        <v>0</v>
      </c>
      <c r="N61" s="4">
        <v>81</v>
      </c>
      <c r="O61" s="4">
        <v>0</v>
      </c>
      <c r="P61" s="24">
        <v>81</v>
      </c>
      <c r="Q61" s="4">
        <v>0</v>
      </c>
      <c r="R61" s="4">
        <v>1003855</v>
      </c>
      <c r="S61" s="4">
        <v>0</v>
      </c>
      <c r="T61" s="4">
        <v>0</v>
      </c>
      <c r="U61" s="24">
        <v>0</v>
      </c>
      <c r="V61" s="4">
        <v>7828</v>
      </c>
      <c r="W61" s="14">
        <v>49733</v>
      </c>
      <c r="X61" s="2"/>
      <c r="Y61" s="5" t="s">
        <v>2</v>
      </c>
      <c r="Z61" s="5" t="s">
        <v>1791</v>
      </c>
      <c r="AA61" s="5" t="s">
        <v>1997</v>
      </c>
      <c r="AB61" s="21" t="s">
        <v>2</v>
      </c>
      <c r="AC61" s="54" t="s">
        <v>4179</v>
      </c>
    </row>
    <row r="62" spans="2:29" x14ac:dyDescent="0.3">
      <c r="B62" s="18" t="s">
        <v>4124</v>
      </c>
      <c r="C62" s="47" t="s">
        <v>4410</v>
      </c>
      <c r="D62" s="15" t="s">
        <v>4409</v>
      </c>
      <c r="E62" s="55" t="s">
        <v>2</v>
      </c>
      <c r="F62" s="14">
        <v>44923</v>
      </c>
      <c r="G62" s="5" t="s">
        <v>2704</v>
      </c>
      <c r="H62" s="2"/>
      <c r="I62" s="4">
        <v>415383</v>
      </c>
      <c r="J62" s="4">
        <v>415383</v>
      </c>
      <c r="K62" s="4">
        <v>415320</v>
      </c>
      <c r="L62" s="4">
        <v>415328</v>
      </c>
      <c r="M62" s="4">
        <v>0</v>
      </c>
      <c r="N62" s="4">
        <v>55</v>
      </c>
      <c r="O62" s="4">
        <v>0</v>
      </c>
      <c r="P62" s="24">
        <v>55</v>
      </c>
      <c r="Q62" s="4">
        <v>0</v>
      </c>
      <c r="R62" s="4">
        <v>415383</v>
      </c>
      <c r="S62" s="4">
        <v>0</v>
      </c>
      <c r="T62" s="4">
        <v>0</v>
      </c>
      <c r="U62" s="24">
        <v>0</v>
      </c>
      <c r="V62" s="4">
        <v>5204</v>
      </c>
      <c r="W62" s="14">
        <v>49733</v>
      </c>
      <c r="X62" s="2"/>
      <c r="Y62" s="5" t="s">
        <v>2</v>
      </c>
      <c r="Z62" s="5" t="s">
        <v>1791</v>
      </c>
      <c r="AA62" s="5" t="s">
        <v>824</v>
      </c>
      <c r="AB62" s="21" t="s">
        <v>2</v>
      </c>
      <c r="AC62" s="54" t="s">
        <v>4179</v>
      </c>
    </row>
    <row r="63" spans="2:29" x14ac:dyDescent="0.3">
      <c r="B63" s="18" t="s">
        <v>1061</v>
      </c>
      <c r="C63" s="47" t="s">
        <v>3618</v>
      </c>
      <c r="D63" s="15" t="s">
        <v>2561</v>
      </c>
      <c r="E63" s="55" t="s">
        <v>2</v>
      </c>
      <c r="F63" s="14">
        <v>44761</v>
      </c>
      <c r="G63" s="5" t="s">
        <v>4481</v>
      </c>
      <c r="H63" s="2"/>
      <c r="I63" s="4">
        <v>5006450</v>
      </c>
      <c r="J63" s="4">
        <v>5000000</v>
      </c>
      <c r="K63" s="4">
        <v>4972500</v>
      </c>
      <c r="L63" s="4">
        <v>4988341</v>
      </c>
      <c r="M63" s="4">
        <v>0</v>
      </c>
      <c r="N63" s="4">
        <v>3007</v>
      </c>
      <c r="O63" s="4">
        <v>0</v>
      </c>
      <c r="P63" s="24">
        <v>3007</v>
      </c>
      <c r="Q63" s="4">
        <v>0</v>
      </c>
      <c r="R63" s="4">
        <v>4991348</v>
      </c>
      <c r="S63" s="4">
        <v>0</v>
      </c>
      <c r="T63" s="4">
        <v>15102</v>
      </c>
      <c r="U63" s="24">
        <v>15102</v>
      </c>
      <c r="V63" s="4">
        <v>175910</v>
      </c>
      <c r="W63" s="14">
        <v>45326</v>
      </c>
      <c r="X63" s="2"/>
      <c r="Y63" s="5" t="s">
        <v>3680</v>
      </c>
      <c r="Z63" s="5" t="s">
        <v>2561</v>
      </c>
      <c r="AA63" s="5" t="s">
        <v>2</v>
      </c>
      <c r="AB63" s="21" t="s">
        <v>2</v>
      </c>
      <c r="AC63" s="54" t="s">
        <v>4179</v>
      </c>
    </row>
    <row r="64" spans="2:29" x14ac:dyDescent="0.3">
      <c r="B64" s="18" t="s">
        <v>2183</v>
      </c>
      <c r="C64" s="47" t="s">
        <v>473</v>
      </c>
      <c r="D64" s="15" t="s">
        <v>1104</v>
      </c>
      <c r="E64" s="55" t="s">
        <v>2</v>
      </c>
      <c r="F64" s="14">
        <v>44726</v>
      </c>
      <c r="G64" s="5" t="s">
        <v>4453</v>
      </c>
      <c r="H64" s="2"/>
      <c r="I64" s="4">
        <v>3999840</v>
      </c>
      <c r="J64" s="4">
        <v>4000000</v>
      </c>
      <c r="K64" s="4">
        <v>3999840</v>
      </c>
      <c r="L64" s="4">
        <v>3999840</v>
      </c>
      <c r="M64" s="4">
        <v>0</v>
      </c>
      <c r="N64" s="4">
        <v>0</v>
      </c>
      <c r="O64" s="4">
        <v>0</v>
      </c>
      <c r="P64" s="24">
        <v>0</v>
      </c>
      <c r="Q64" s="4">
        <v>0</v>
      </c>
      <c r="R64" s="4">
        <v>3999840</v>
      </c>
      <c r="S64" s="4">
        <v>0</v>
      </c>
      <c r="T64" s="4">
        <v>0</v>
      </c>
      <c r="U64" s="24">
        <v>0</v>
      </c>
      <c r="V64" s="4">
        <v>37521</v>
      </c>
      <c r="W64" s="14">
        <v>48245</v>
      </c>
      <c r="X64" s="2"/>
      <c r="Y64" s="5" t="s">
        <v>838</v>
      </c>
      <c r="Z64" s="5" t="s">
        <v>533</v>
      </c>
      <c r="AA64" s="5" t="s">
        <v>824</v>
      </c>
      <c r="AB64" s="21" t="s">
        <v>2</v>
      </c>
      <c r="AC64" s="54" t="s">
        <v>4179</v>
      </c>
    </row>
    <row r="65" spans="2:29" x14ac:dyDescent="0.3">
      <c r="B65" s="18" t="s">
        <v>3312</v>
      </c>
      <c r="C65" s="47" t="s">
        <v>1669</v>
      </c>
      <c r="D65" s="15" t="s">
        <v>2317</v>
      </c>
      <c r="E65" s="55" t="s">
        <v>2</v>
      </c>
      <c r="F65" s="14">
        <v>44768</v>
      </c>
      <c r="G65" s="5" t="s">
        <v>4454</v>
      </c>
      <c r="H65" s="2"/>
      <c r="I65" s="4">
        <v>1995840</v>
      </c>
      <c r="J65" s="4">
        <v>2000000</v>
      </c>
      <c r="K65" s="4">
        <v>1993480</v>
      </c>
      <c r="L65" s="4">
        <v>1997502</v>
      </c>
      <c r="M65" s="4">
        <v>0</v>
      </c>
      <c r="N65" s="4">
        <v>716</v>
      </c>
      <c r="O65" s="4">
        <v>0</v>
      </c>
      <c r="P65" s="24">
        <v>716</v>
      </c>
      <c r="Q65" s="4">
        <v>0</v>
      </c>
      <c r="R65" s="4">
        <v>1998217</v>
      </c>
      <c r="S65" s="4">
        <v>0</v>
      </c>
      <c r="T65" s="4">
        <v>-2377</v>
      </c>
      <c r="U65" s="24">
        <v>-2377</v>
      </c>
      <c r="V65" s="4">
        <v>48007</v>
      </c>
      <c r="W65" s="14">
        <v>45275</v>
      </c>
      <c r="X65" s="2"/>
      <c r="Y65" s="5" t="s">
        <v>2</v>
      </c>
      <c r="Z65" s="5" t="s">
        <v>1957</v>
      </c>
      <c r="AA65" s="5" t="s">
        <v>824</v>
      </c>
      <c r="AB65" s="21" t="s">
        <v>2</v>
      </c>
      <c r="AC65" s="54" t="s">
        <v>4179</v>
      </c>
    </row>
    <row r="66" spans="2:29" x14ac:dyDescent="0.3">
      <c r="B66" s="18" t="s">
        <v>4456</v>
      </c>
      <c r="C66" s="47" t="s">
        <v>1792</v>
      </c>
      <c r="D66" s="15" t="s">
        <v>3781</v>
      </c>
      <c r="E66" s="55" t="s">
        <v>2</v>
      </c>
      <c r="F66" s="14">
        <v>44915</v>
      </c>
      <c r="G66" s="5" t="s">
        <v>2704</v>
      </c>
      <c r="H66" s="2"/>
      <c r="I66" s="4">
        <v>1275000</v>
      </c>
      <c r="J66" s="4">
        <v>1275000</v>
      </c>
      <c r="K66" s="4">
        <v>1274445</v>
      </c>
      <c r="L66" s="4">
        <v>1274459</v>
      </c>
      <c r="M66" s="4">
        <v>0</v>
      </c>
      <c r="N66" s="4">
        <v>541</v>
      </c>
      <c r="O66" s="4">
        <v>0</v>
      </c>
      <c r="P66" s="24">
        <v>541</v>
      </c>
      <c r="Q66" s="4">
        <v>0</v>
      </c>
      <c r="R66" s="4">
        <v>1275000</v>
      </c>
      <c r="S66" s="4">
        <v>0</v>
      </c>
      <c r="T66" s="4">
        <v>0</v>
      </c>
      <c r="U66" s="24">
        <v>0</v>
      </c>
      <c r="V66" s="4">
        <v>15545</v>
      </c>
      <c r="W66" s="14">
        <v>53622</v>
      </c>
      <c r="X66" s="2"/>
      <c r="Y66" s="5" t="s">
        <v>2</v>
      </c>
      <c r="Z66" s="5" t="s">
        <v>1007</v>
      </c>
      <c r="AA66" s="5" t="s">
        <v>824</v>
      </c>
      <c r="AB66" s="21" t="s">
        <v>2</v>
      </c>
      <c r="AC66" s="54" t="s">
        <v>4179</v>
      </c>
    </row>
    <row r="67" spans="2:29" x14ac:dyDescent="0.3">
      <c r="B67" s="18" t="s">
        <v>1062</v>
      </c>
      <c r="C67" s="47" t="s">
        <v>1868</v>
      </c>
      <c r="D67" s="15" t="s">
        <v>1869</v>
      </c>
      <c r="E67" s="55" t="s">
        <v>2</v>
      </c>
      <c r="F67" s="14">
        <v>44760</v>
      </c>
      <c r="G67" s="5" t="s">
        <v>1060</v>
      </c>
      <c r="H67" s="2"/>
      <c r="I67" s="4">
        <v>9922103</v>
      </c>
      <c r="J67" s="4">
        <v>9900000</v>
      </c>
      <c r="K67" s="4">
        <v>9892089</v>
      </c>
      <c r="L67" s="4">
        <v>9899112</v>
      </c>
      <c r="M67" s="4">
        <v>0</v>
      </c>
      <c r="N67" s="4">
        <v>687</v>
      </c>
      <c r="O67" s="4">
        <v>0</v>
      </c>
      <c r="P67" s="24">
        <v>687</v>
      </c>
      <c r="Q67" s="4">
        <v>0</v>
      </c>
      <c r="R67" s="4">
        <v>9899800</v>
      </c>
      <c r="S67" s="4">
        <v>0</v>
      </c>
      <c r="T67" s="4">
        <v>200</v>
      </c>
      <c r="U67" s="24">
        <v>200</v>
      </c>
      <c r="V67" s="4">
        <v>324154</v>
      </c>
      <c r="W67" s="14">
        <v>44819</v>
      </c>
      <c r="X67" s="2"/>
      <c r="Y67" s="5" t="s">
        <v>2789</v>
      </c>
      <c r="Z67" s="5" t="s">
        <v>841</v>
      </c>
      <c r="AA67" s="5" t="s">
        <v>2</v>
      </c>
      <c r="AB67" s="21" t="s">
        <v>2</v>
      </c>
      <c r="AC67" s="54" t="s">
        <v>4179</v>
      </c>
    </row>
    <row r="68" spans="2:29" x14ac:dyDescent="0.3">
      <c r="B68" s="18" t="s">
        <v>2986</v>
      </c>
      <c r="C68" s="47" t="s">
        <v>3009</v>
      </c>
      <c r="D68" s="15" t="s">
        <v>2495</v>
      </c>
      <c r="E68" s="55" t="s">
        <v>2</v>
      </c>
      <c r="F68" s="14">
        <v>44713</v>
      </c>
      <c r="G68" s="5" t="s">
        <v>730</v>
      </c>
      <c r="H68" s="2"/>
      <c r="I68" s="4">
        <v>5000000</v>
      </c>
      <c r="J68" s="4">
        <v>5000000</v>
      </c>
      <c r="K68" s="4">
        <v>5135050</v>
      </c>
      <c r="L68" s="4">
        <v>5018315</v>
      </c>
      <c r="M68" s="4">
        <v>0</v>
      </c>
      <c r="N68" s="4">
        <v>-18315</v>
      </c>
      <c r="O68" s="4">
        <v>0</v>
      </c>
      <c r="P68" s="24">
        <v>-18315</v>
      </c>
      <c r="Q68" s="4">
        <v>0</v>
      </c>
      <c r="R68" s="4">
        <v>5000000</v>
      </c>
      <c r="S68" s="4">
        <v>0</v>
      </c>
      <c r="T68" s="4">
        <v>0</v>
      </c>
      <c r="U68" s="24">
        <v>0</v>
      </c>
      <c r="V68" s="4">
        <v>84375</v>
      </c>
      <c r="W68" s="14">
        <v>44713</v>
      </c>
      <c r="X68" s="2"/>
      <c r="Y68" s="5" t="s">
        <v>1105</v>
      </c>
      <c r="Z68" s="5" t="s">
        <v>1870</v>
      </c>
      <c r="AA68" s="5" t="s">
        <v>1870</v>
      </c>
      <c r="AB68" s="21" t="s">
        <v>2</v>
      </c>
      <c r="AC68" s="54" t="s">
        <v>4179</v>
      </c>
    </row>
    <row r="69" spans="2:29" x14ac:dyDescent="0.3">
      <c r="B69" s="18" t="s">
        <v>4125</v>
      </c>
      <c r="C69" s="47" t="s">
        <v>4496</v>
      </c>
      <c r="D69" s="15" t="s">
        <v>843</v>
      </c>
      <c r="E69" s="55" t="s">
        <v>2</v>
      </c>
      <c r="F69" s="14">
        <v>44651</v>
      </c>
      <c r="G69" s="5" t="s">
        <v>4454</v>
      </c>
      <c r="H69" s="2"/>
      <c r="I69" s="4">
        <v>3902493</v>
      </c>
      <c r="J69" s="4">
        <v>3883000</v>
      </c>
      <c r="K69" s="4">
        <v>3869604</v>
      </c>
      <c r="L69" s="4">
        <v>3880218</v>
      </c>
      <c r="M69" s="4">
        <v>0</v>
      </c>
      <c r="N69" s="4">
        <v>655</v>
      </c>
      <c r="O69" s="4">
        <v>0</v>
      </c>
      <c r="P69" s="24">
        <v>655</v>
      </c>
      <c r="Q69" s="4">
        <v>0</v>
      </c>
      <c r="R69" s="4">
        <v>3880874</v>
      </c>
      <c r="S69" s="4">
        <v>0</v>
      </c>
      <c r="T69" s="4">
        <v>21619</v>
      </c>
      <c r="U69" s="24">
        <v>21619</v>
      </c>
      <c r="V69" s="4">
        <v>88460</v>
      </c>
      <c r="W69" s="14">
        <v>44958</v>
      </c>
      <c r="X69" s="2"/>
      <c r="Y69" s="5" t="s">
        <v>2</v>
      </c>
      <c r="Z69" s="5" t="s">
        <v>843</v>
      </c>
      <c r="AA69" s="5" t="s">
        <v>2</v>
      </c>
      <c r="AB69" s="21" t="s">
        <v>2</v>
      </c>
      <c r="AC69" s="54" t="s">
        <v>4179</v>
      </c>
    </row>
    <row r="70" spans="2:29" x14ac:dyDescent="0.3">
      <c r="B70" s="18" t="s">
        <v>712</v>
      </c>
      <c r="C70" s="47" t="s">
        <v>4496</v>
      </c>
      <c r="D70" s="15" t="s">
        <v>843</v>
      </c>
      <c r="E70" s="55" t="s">
        <v>2</v>
      </c>
      <c r="F70" s="14">
        <v>44866</v>
      </c>
      <c r="G70" s="5" t="s">
        <v>466</v>
      </c>
      <c r="H70" s="2"/>
      <c r="I70" s="4">
        <v>5000000</v>
      </c>
      <c r="J70" s="4">
        <v>5000000</v>
      </c>
      <c r="K70" s="4">
        <v>5037966</v>
      </c>
      <c r="L70" s="4">
        <v>5010552</v>
      </c>
      <c r="M70" s="4">
        <v>0</v>
      </c>
      <c r="N70" s="4">
        <v>-10738</v>
      </c>
      <c r="O70" s="4">
        <v>0</v>
      </c>
      <c r="P70" s="24">
        <v>-10738</v>
      </c>
      <c r="Q70" s="4">
        <v>0</v>
      </c>
      <c r="R70" s="4">
        <v>4999813</v>
      </c>
      <c r="S70" s="4">
        <v>0</v>
      </c>
      <c r="T70" s="4">
        <v>187</v>
      </c>
      <c r="U70" s="24">
        <v>187</v>
      </c>
      <c r="V70" s="4">
        <v>210938</v>
      </c>
      <c r="W70" s="14">
        <v>44958</v>
      </c>
      <c r="X70" s="2"/>
      <c r="Y70" s="5" t="s">
        <v>2</v>
      </c>
      <c r="Z70" s="5" t="s">
        <v>843</v>
      </c>
      <c r="AA70" s="5" t="s">
        <v>2</v>
      </c>
      <c r="AB70" s="21" t="s">
        <v>2</v>
      </c>
      <c r="AC70" s="54" t="s">
        <v>4179</v>
      </c>
    </row>
    <row r="71" spans="2:29" x14ac:dyDescent="0.3">
      <c r="B71" s="18" t="s">
        <v>1850</v>
      </c>
      <c r="C71" s="47" t="s">
        <v>1871</v>
      </c>
      <c r="D71" s="15" t="s">
        <v>304</v>
      </c>
      <c r="E71" s="55" t="s">
        <v>2</v>
      </c>
      <c r="F71" s="14">
        <v>44797</v>
      </c>
      <c r="G71" s="5" t="s">
        <v>217</v>
      </c>
      <c r="H71" s="2"/>
      <c r="I71" s="4">
        <v>4021213</v>
      </c>
      <c r="J71" s="4">
        <v>4000000</v>
      </c>
      <c r="K71" s="4">
        <v>4000000</v>
      </c>
      <c r="L71" s="4">
        <v>4000000</v>
      </c>
      <c r="M71" s="4">
        <v>0</v>
      </c>
      <c r="N71" s="4">
        <v>0</v>
      </c>
      <c r="O71" s="4">
        <v>0</v>
      </c>
      <c r="P71" s="24">
        <v>0</v>
      </c>
      <c r="Q71" s="4">
        <v>0</v>
      </c>
      <c r="R71" s="4">
        <v>4000000</v>
      </c>
      <c r="S71" s="4">
        <v>0</v>
      </c>
      <c r="T71" s="4">
        <v>0</v>
      </c>
      <c r="U71" s="24">
        <v>0</v>
      </c>
      <c r="V71" s="4">
        <v>180393</v>
      </c>
      <c r="W71" s="14">
        <v>45328</v>
      </c>
      <c r="X71" s="2"/>
      <c r="Y71" s="5" t="s">
        <v>2321</v>
      </c>
      <c r="Z71" s="5" t="s">
        <v>304</v>
      </c>
      <c r="AA71" s="5" t="s">
        <v>2</v>
      </c>
      <c r="AB71" s="21" t="s">
        <v>2</v>
      </c>
      <c r="AC71" s="54" t="s">
        <v>4179</v>
      </c>
    </row>
    <row r="72" spans="2:29" x14ac:dyDescent="0.3">
      <c r="B72" s="18" t="s">
        <v>3314</v>
      </c>
      <c r="C72" s="47" t="s">
        <v>1872</v>
      </c>
      <c r="D72" s="15" t="s">
        <v>536</v>
      </c>
      <c r="E72" s="55" t="s">
        <v>2</v>
      </c>
      <c r="F72" s="14">
        <v>44788</v>
      </c>
      <c r="G72" s="5" t="s">
        <v>730</v>
      </c>
      <c r="H72" s="2"/>
      <c r="I72" s="4">
        <v>6900000</v>
      </c>
      <c r="J72" s="4">
        <v>6900000</v>
      </c>
      <c r="K72" s="4">
        <v>6910006</v>
      </c>
      <c r="L72" s="4">
        <v>6903093</v>
      </c>
      <c r="M72" s="4">
        <v>0</v>
      </c>
      <c r="N72" s="4">
        <v>-3093</v>
      </c>
      <c r="O72" s="4">
        <v>0</v>
      </c>
      <c r="P72" s="24">
        <v>-3093</v>
      </c>
      <c r="Q72" s="4">
        <v>0</v>
      </c>
      <c r="R72" s="4">
        <v>6900000</v>
      </c>
      <c r="S72" s="4">
        <v>0</v>
      </c>
      <c r="T72" s="4">
        <v>0</v>
      </c>
      <c r="U72" s="24">
        <v>0</v>
      </c>
      <c r="V72" s="4">
        <v>244950</v>
      </c>
      <c r="W72" s="14">
        <v>44788</v>
      </c>
      <c r="X72" s="2"/>
      <c r="Y72" s="5" t="s">
        <v>1962</v>
      </c>
      <c r="Z72" s="5" t="s">
        <v>536</v>
      </c>
      <c r="AA72" s="5" t="s">
        <v>2</v>
      </c>
      <c r="AB72" s="21" t="s">
        <v>2</v>
      </c>
      <c r="AC72" s="54" t="s">
        <v>4179</v>
      </c>
    </row>
    <row r="73" spans="2:29" x14ac:dyDescent="0.3">
      <c r="B73" s="18" t="s">
        <v>4457</v>
      </c>
      <c r="C73" s="47" t="s">
        <v>2706</v>
      </c>
      <c r="D73" s="15" t="s">
        <v>218</v>
      </c>
      <c r="E73" s="55" t="s">
        <v>2</v>
      </c>
      <c r="F73" s="14">
        <v>44683</v>
      </c>
      <c r="G73" s="5" t="s">
        <v>1368</v>
      </c>
      <c r="H73" s="2"/>
      <c r="I73" s="4">
        <v>5213000</v>
      </c>
      <c r="J73" s="4">
        <v>5000000</v>
      </c>
      <c r="K73" s="4">
        <v>4969365</v>
      </c>
      <c r="L73" s="4">
        <v>4976391</v>
      </c>
      <c r="M73" s="4">
        <v>0</v>
      </c>
      <c r="N73" s="4">
        <v>1692</v>
      </c>
      <c r="O73" s="4">
        <v>0</v>
      </c>
      <c r="P73" s="24">
        <v>1692</v>
      </c>
      <c r="Q73" s="4">
        <v>0</v>
      </c>
      <c r="R73" s="4">
        <v>4978083</v>
      </c>
      <c r="S73" s="4">
        <v>0</v>
      </c>
      <c r="T73" s="4">
        <v>21917</v>
      </c>
      <c r="U73" s="24">
        <v>21917</v>
      </c>
      <c r="V73" s="4">
        <v>328102</v>
      </c>
      <c r="W73" s="14">
        <v>46127</v>
      </c>
      <c r="X73" s="2"/>
      <c r="Y73" s="5" t="s">
        <v>1434</v>
      </c>
      <c r="Z73" s="5" t="s">
        <v>2322</v>
      </c>
      <c r="AA73" s="5" t="s">
        <v>2</v>
      </c>
      <c r="AB73" s="21" t="s">
        <v>2</v>
      </c>
      <c r="AC73" s="54" t="s">
        <v>4179</v>
      </c>
    </row>
    <row r="74" spans="2:29" x14ac:dyDescent="0.3">
      <c r="B74" s="18" t="s">
        <v>1063</v>
      </c>
      <c r="C74" s="47" t="s">
        <v>734</v>
      </c>
      <c r="D74" s="15" t="s">
        <v>53</v>
      </c>
      <c r="E74" s="55" t="s">
        <v>2</v>
      </c>
      <c r="F74" s="14">
        <v>44662</v>
      </c>
      <c r="G74" s="5" t="s">
        <v>1867</v>
      </c>
      <c r="H74" s="2"/>
      <c r="I74" s="4">
        <v>1004600</v>
      </c>
      <c r="J74" s="4">
        <v>1000000</v>
      </c>
      <c r="K74" s="4">
        <v>998760</v>
      </c>
      <c r="L74" s="4">
        <v>999807</v>
      </c>
      <c r="M74" s="4">
        <v>0</v>
      </c>
      <c r="N74" s="4">
        <v>74</v>
      </c>
      <c r="O74" s="4">
        <v>0</v>
      </c>
      <c r="P74" s="24">
        <v>74</v>
      </c>
      <c r="Q74" s="4">
        <v>0</v>
      </c>
      <c r="R74" s="4">
        <v>999881</v>
      </c>
      <c r="S74" s="4">
        <v>0</v>
      </c>
      <c r="T74" s="4">
        <v>4719</v>
      </c>
      <c r="U74" s="24">
        <v>4719</v>
      </c>
      <c r="V74" s="4">
        <v>16500</v>
      </c>
      <c r="W74" s="14">
        <v>44829</v>
      </c>
      <c r="X74" s="2"/>
      <c r="Y74" s="5" t="s">
        <v>54</v>
      </c>
      <c r="Z74" s="5" t="s">
        <v>3931</v>
      </c>
      <c r="AA74" s="5" t="s">
        <v>1965</v>
      </c>
      <c r="AB74" s="21" t="s">
        <v>2</v>
      </c>
      <c r="AC74" s="54" t="s">
        <v>4179</v>
      </c>
    </row>
    <row r="75" spans="2:29" x14ac:dyDescent="0.3">
      <c r="B75" s="18" t="s">
        <v>2184</v>
      </c>
      <c r="C75" s="47" t="s">
        <v>734</v>
      </c>
      <c r="D75" s="15" t="s">
        <v>53</v>
      </c>
      <c r="E75" s="55" t="s">
        <v>2</v>
      </c>
      <c r="F75" s="14">
        <v>44811</v>
      </c>
      <c r="G75" s="5" t="s">
        <v>466</v>
      </c>
      <c r="H75" s="2"/>
      <c r="I75" s="4">
        <v>1000000</v>
      </c>
      <c r="J75" s="4">
        <v>1000000</v>
      </c>
      <c r="K75" s="4">
        <v>986850</v>
      </c>
      <c r="L75" s="4">
        <v>997111</v>
      </c>
      <c r="M75" s="4">
        <v>0</v>
      </c>
      <c r="N75" s="4">
        <v>2691</v>
      </c>
      <c r="O75" s="4">
        <v>0</v>
      </c>
      <c r="P75" s="24">
        <v>2691</v>
      </c>
      <c r="Q75" s="4">
        <v>0</v>
      </c>
      <c r="R75" s="4">
        <v>999802</v>
      </c>
      <c r="S75" s="4">
        <v>0</v>
      </c>
      <c r="T75" s="4">
        <v>198</v>
      </c>
      <c r="U75" s="24">
        <v>198</v>
      </c>
      <c r="V75" s="4">
        <v>28500</v>
      </c>
      <c r="W75" s="14">
        <v>44829</v>
      </c>
      <c r="X75" s="2"/>
      <c r="Y75" s="5" t="s">
        <v>54</v>
      </c>
      <c r="Z75" s="5" t="s">
        <v>3931</v>
      </c>
      <c r="AA75" s="5" t="s">
        <v>1965</v>
      </c>
      <c r="AB75" s="21" t="s">
        <v>2</v>
      </c>
      <c r="AC75" s="54" t="s">
        <v>4179</v>
      </c>
    </row>
    <row r="76" spans="2:29" x14ac:dyDescent="0.3">
      <c r="B76" s="18" t="s">
        <v>3315</v>
      </c>
      <c r="C76" s="47" t="s">
        <v>1369</v>
      </c>
      <c r="D76" s="15" t="s">
        <v>1370</v>
      </c>
      <c r="E76" s="55" t="s">
        <v>2</v>
      </c>
      <c r="F76" s="14">
        <v>44630</v>
      </c>
      <c r="G76" s="5" t="s">
        <v>219</v>
      </c>
      <c r="H76" s="2"/>
      <c r="I76" s="4">
        <v>6287960</v>
      </c>
      <c r="J76" s="4">
        <v>6000000</v>
      </c>
      <c r="K76" s="4">
        <v>5973900</v>
      </c>
      <c r="L76" s="4">
        <v>5988788</v>
      </c>
      <c r="M76" s="4">
        <v>0</v>
      </c>
      <c r="N76" s="4">
        <v>926</v>
      </c>
      <c r="O76" s="4">
        <v>0</v>
      </c>
      <c r="P76" s="24">
        <v>926</v>
      </c>
      <c r="Q76" s="4">
        <v>0</v>
      </c>
      <c r="R76" s="4">
        <v>5989714</v>
      </c>
      <c r="S76" s="4">
        <v>0</v>
      </c>
      <c r="T76" s="4">
        <v>10286</v>
      </c>
      <c r="U76" s="24">
        <v>10286</v>
      </c>
      <c r="V76" s="4">
        <v>414834</v>
      </c>
      <c r="W76" s="14">
        <v>45366</v>
      </c>
      <c r="X76" s="2"/>
      <c r="Y76" s="5" t="s">
        <v>2</v>
      </c>
      <c r="Z76" s="5" t="s">
        <v>1370</v>
      </c>
      <c r="AA76" s="5" t="s">
        <v>2</v>
      </c>
      <c r="AB76" s="21" t="s">
        <v>2</v>
      </c>
      <c r="AC76" s="54" t="s">
        <v>4179</v>
      </c>
    </row>
    <row r="77" spans="2:29" x14ac:dyDescent="0.3">
      <c r="B77" s="18" t="s">
        <v>4458</v>
      </c>
      <c r="C77" s="47" t="s">
        <v>1592</v>
      </c>
      <c r="D77" s="15" t="s">
        <v>1593</v>
      </c>
      <c r="E77" s="55" t="s">
        <v>2</v>
      </c>
      <c r="F77" s="14">
        <v>44634</v>
      </c>
      <c r="G77" s="5" t="s">
        <v>2704</v>
      </c>
      <c r="H77" s="2"/>
      <c r="I77" s="4">
        <v>5195408</v>
      </c>
      <c r="J77" s="4">
        <v>5195408</v>
      </c>
      <c r="K77" s="4">
        <v>5194974</v>
      </c>
      <c r="L77" s="4">
        <v>5195205</v>
      </c>
      <c r="M77" s="4">
        <v>0</v>
      </c>
      <c r="N77" s="4">
        <v>202</v>
      </c>
      <c r="O77" s="4">
        <v>0</v>
      </c>
      <c r="P77" s="24">
        <v>202</v>
      </c>
      <c r="Q77" s="4">
        <v>0</v>
      </c>
      <c r="R77" s="4">
        <v>5195408</v>
      </c>
      <c r="S77" s="4">
        <v>0</v>
      </c>
      <c r="T77" s="4">
        <v>0</v>
      </c>
      <c r="U77" s="24">
        <v>0</v>
      </c>
      <c r="V77" s="4">
        <v>39050</v>
      </c>
      <c r="W77" s="14">
        <v>46006</v>
      </c>
      <c r="X77" s="2"/>
      <c r="Y77" s="5" t="s">
        <v>2</v>
      </c>
      <c r="Z77" s="5" t="s">
        <v>3865</v>
      </c>
      <c r="AA77" s="5" t="s">
        <v>824</v>
      </c>
      <c r="AB77" s="21" t="s">
        <v>2</v>
      </c>
      <c r="AC77" s="54" t="s">
        <v>4179</v>
      </c>
    </row>
    <row r="78" spans="2:29" x14ac:dyDescent="0.3">
      <c r="B78" s="18" t="s">
        <v>1851</v>
      </c>
      <c r="C78" s="47" t="s">
        <v>4143</v>
      </c>
      <c r="D78" s="15" t="s">
        <v>1593</v>
      </c>
      <c r="E78" s="55" t="s">
        <v>2</v>
      </c>
      <c r="F78" s="14">
        <v>44634</v>
      </c>
      <c r="G78" s="5" t="s">
        <v>2704</v>
      </c>
      <c r="H78" s="2"/>
      <c r="I78" s="4">
        <v>2280000</v>
      </c>
      <c r="J78" s="4">
        <v>2280000</v>
      </c>
      <c r="K78" s="4">
        <v>2279447</v>
      </c>
      <c r="L78" s="4">
        <v>2279777</v>
      </c>
      <c r="M78" s="4">
        <v>0</v>
      </c>
      <c r="N78" s="4">
        <v>223</v>
      </c>
      <c r="O78" s="4">
        <v>0</v>
      </c>
      <c r="P78" s="24">
        <v>223</v>
      </c>
      <c r="Q78" s="4">
        <v>0</v>
      </c>
      <c r="R78" s="4">
        <v>2280000</v>
      </c>
      <c r="S78" s="4">
        <v>0</v>
      </c>
      <c r="T78" s="4">
        <v>0</v>
      </c>
      <c r="U78" s="24">
        <v>0</v>
      </c>
      <c r="V78" s="4">
        <v>22059</v>
      </c>
      <c r="W78" s="14">
        <v>46006</v>
      </c>
      <c r="X78" s="2"/>
      <c r="Y78" s="5" t="s">
        <v>2</v>
      </c>
      <c r="Z78" s="5" t="s">
        <v>3865</v>
      </c>
      <c r="AA78" s="5" t="s">
        <v>824</v>
      </c>
      <c r="AB78" s="21" t="s">
        <v>2</v>
      </c>
      <c r="AC78" s="54" t="s">
        <v>4179</v>
      </c>
    </row>
    <row r="79" spans="2:29" x14ac:dyDescent="0.3">
      <c r="B79" s="18" t="s">
        <v>2987</v>
      </c>
      <c r="C79" s="47" t="s">
        <v>4144</v>
      </c>
      <c r="D79" s="15" t="s">
        <v>2496</v>
      </c>
      <c r="E79" s="55" t="s">
        <v>2</v>
      </c>
      <c r="F79" s="14">
        <v>44879</v>
      </c>
      <c r="G79" s="5" t="s">
        <v>2704</v>
      </c>
      <c r="H79" s="2"/>
      <c r="I79" s="4">
        <v>5000000</v>
      </c>
      <c r="J79" s="4">
        <v>5000000</v>
      </c>
      <c r="K79" s="4">
        <v>4998828</v>
      </c>
      <c r="L79" s="4">
        <v>4999520</v>
      </c>
      <c r="M79" s="4">
        <v>0</v>
      </c>
      <c r="N79" s="4">
        <v>480</v>
      </c>
      <c r="O79" s="4">
        <v>0</v>
      </c>
      <c r="P79" s="24">
        <v>480</v>
      </c>
      <c r="Q79" s="4">
        <v>0</v>
      </c>
      <c r="R79" s="4">
        <v>5000000</v>
      </c>
      <c r="S79" s="4">
        <v>0</v>
      </c>
      <c r="T79" s="4">
        <v>0</v>
      </c>
      <c r="U79" s="24">
        <v>0</v>
      </c>
      <c r="V79" s="4">
        <v>129108</v>
      </c>
      <c r="W79" s="14">
        <v>46279</v>
      </c>
      <c r="X79" s="2"/>
      <c r="Y79" s="5" t="s">
        <v>2</v>
      </c>
      <c r="Z79" s="5" t="s">
        <v>474</v>
      </c>
      <c r="AA79" s="5" t="s">
        <v>824</v>
      </c>
      <c r="AB79" s="21" t="s">
        <v>2</v>
      </c>
      <c r="AC79" s="54" t="s">
        <v>4179</v>
      </c>
    </row>
    <row r="80" spans="2:29" x14ac:dyDescent="0.3">
      <c r="B80" s="18" t="s">
        <v>4459</v>
      </c>
      <c r="C80" s="47" t="s">
        <v>220</v>
      </c>
      <c r="D80" s="15" t="s">
        <v>1371</v>
      </c>
      <c r="E80" s="55" t="s">
        <v>2</v>
      </c>
      <c r="F80" s="14">
        <v>44867</v>
      </c>
      <c r="G80" s="5" t="s">
        <v>1867</v>
      </c>
      <c r="H80" s="2"/>
      <c r="I80" s="4">
        <v>4923200</v>
      </c>
      <c r="J80" s="4">
        <v>5000000</v>
      </c>
      <c r="K80" s="4">
        <v>4998112</v>
      </c>
      <c r="L80" s="4">
        <v>4999013</v>
      </c>
      <c r="M80" s="4">
        <v>0</v>
      </c>
      <c r="N80" s="4">
        <v>535</v>
      </c>
      <c r="O80" s="4">
        <v>0</v>
      </c>
      <c r="P80" s="24">
        <v>535</v>
      </c>
      <c r="Q80" s="4">
        <v>0</v>
      </c>
      <c r="R80" s="4">
        <v>4999548</v>
      </c>
      <c r="S80" s="4">
        <v>0</v>
      </c>
      <c r="T80" s="4">
        <v>-76348</v>
      </c>
      <c r="U80" s="24">
        <v>-76348</v>
      </c>
      <c r="V80" s="4">
        <v>195417</v>
      </c>
      <c r="W80" s="14">
        <v>45122</v>
      </c>
      <c r="X80" s="2"/>
      <c r="Y80" s="5" t="s">
        <v>2</v>
      </c>
      <c r="Z80" s="5" t="s">
        <v>848</v>
      </c>
      <c r="AA80" s="5" t="s">
        <v>2</v>
      </c>
      <c r="AB80" s="21" t="s">
        <v>2</v>
      </c>
      <c r="AC80" s="54" t="s">
        <v>4179</v>
      </c>
    </row>
    <row r="81" spans="2:29" x14ac:dyDescent="0.3">
      <c r="B81" s="18" t="s">
        <v>1064</v>
      </c>
      <c r="C81" s="47" t="s">
        <v>735</v>
      </c>
      <c r="D81" s="15" t="s">
        <v>221</v>
      </c>
      <c r="E81" s="55" t="s">
        <v>2</v>
      </c>
      <c r="F81" s="14">
        <v>44616</v>
      </c>
      <c r="G81" s="5" t="s">
        <v>3866</v>
      </c>
      <c r="H81" s="2"/>
      <c r="I81" s="4">
        <v>2091060</v>
      </c>
      <c r="J81" s="4">
        <v>2000000</v>
      </c>
      <c r="K81" s="4">
        <v>2015000</v>
      </c>
      <c r="L81" s="4">
        <v>2007853</v>
      </c>
      <c r="M81" s="4">
        <v>0</v>
      </c>
      <c r="N81" s="4">
        <v>-706</v>
      </c>
      <c r="O81" s="4">
        <v>0</v>
      </c>
      <c r="P81" s="24">
        <v>-706</v>
      </c>
      <c r="Q81" s="4">
        <v>0</v>
      </c>
      <c r="R81" s="4">
        <v>2007148</v>
      </c>
      <c r="S81" s="4">
        <v>0</v>
      </c>
      <c r="T81" s="4">
        <v>-7148</v>
      </c>
      <c r="U81" s="24">
        <v>-7148</v>
      </c>
      <c r="V81" s="4">
        <v>147449</v>
      </c>
      <c r="W81" s="14">
        <v>45139</v>
      </c>
      <c r="X81" s="2"/>
      <c r="Y81" s="5" t="s">
        <v>2</v>
      </c>
      <c r="Z81" s="5" t="s">
        <v>3932</v>
      </c>
      <c r="AA81" s="5" t="s">
        <v>2</v>
      </c>
      <c r="AB81" s="21" t="s">
        <v>2</v>
      </c>
      <c r="AC81" s="54" t="s">
        <v>4179</v>
      </c>
    </row>
    <row r="82" spans="2:29" x14ac:dyDescent="0.3">
      <c r="B82" s="18" t="s">
        <v>2186</v>
      </c>
      <c r="C82" s="47" t="s">
        <v>3270</v>
      </c>
      <c r="D82" s="15" t="s">
        <v>4411</v>
      </c>
      <c r="E82" s="55" t="s">
        <v>2</v>
      </c>
      <c r="F82" s="14">
        <v>44913</v>
      </c>
      <c r="G82" s="5" t="s">
        <v>2704</v>
      </c>
      <c r="H82" s="2"/>
      <c r="I82" s="4">
        <v>990000</v>
      </c>
      <c r="J82" s="4">
        <v>990000</v>
      </c>
      <c r="K82" s="4">
        <v>989544</v>
      </c>
      <c r="L82" s="4">
        <v>989593</v>
      </c>
      <c r="M82" s="4">
        <v>0</v>
      </c>
      <c r="N82" s="4">
        <v>407</v>
      </c>
      <c r="O82" s="4">
        <v>0</v>
      </c>
      <c r="P82" s="24">
        <v>407</v>
      </c>
      <c r="Q82" s="4">
        <v>0</v>
      </c>
      <c r="R82" s="4">
        <v>990000</v>
      </c>
      <c r="S82" s="4">
        <v>0</v>
      </c>
      <c r="T82" s="4">
        <v>0</v>
      </c>
      <c r="U82" s="24">
        <v>0</v>
      </c>
      <c r="V82" s="4">
        <v>11154</v>
      </c>
      <c r="W82" s="14">
        <v>53223</v>
      </c>
      <c r="X82" s="2"/>
      <c r="Y82" s="5" t="s">
        <v>2</v>
      </c>
      <c r="Z82" s="5" t="s">
        <v>653</v>
      </c>
      <c r="AA82" s="5" t="s">
        <v>824</v>
      </c>
      <c r="AB82" s="21" t="s">
        <v>2</v>
      </c>
      <c r="AC82" s="54" t="s">
        <v>4179</v>
      </c>
    </row>
    <row r="83" spans="2:29" x14ac:dyDescent="0.3">
      <c r="B83" s="18" t="s">
        <v>3316</v>
      </c>
      <c r="C83" s="47" t="s">
        <v>4412</v>
      </c>
      <c r="D83" s="15" t="s">
        <v>1522</v>
      </c>
      <c r="E83" s="55" t="s">
        <v>2</v>
      </c>
      <c r="F83" s="14">
        <v>44913</v>
      </c>
      <c r="G83" s="5" t="s">
        <v>2704</v>
      </c>
      <c r="H83" s="2"/>
      <c r="I83" s="4">
        <v>1133333</v>
      </c>
      <c r="J83" s="4">
        <v>1133333</v>
      </c>
      <c r="K83" s="4">
        <v>1133100</v>
      </c>
      <c r="L83" s="4">
        <v>1133127</v>
      </c>
      <c r="M83" s="4">
        <v>0</v>
      </c>
      <c r="N83" s="4">
        <v>206</v>
      </c>
      <c r="O83" s="4">
        <v>0</v>
      </c>
      <c r="P83" s="24">
        <v>206</v>
      </c>
      <c r="Q83" s="4">
        <v>0</v>
      </c>
      <c r="R83" s="4">
        <v>1133333</v>
      </c>
      <c r="S83" s="4">
        <v>0</v>
      </c>
      <c r="T83" s="4">
        <v>0</v>
      </c>
      <c r="U83" s="24">
        <v>0</v>
      </c>
      <c r="V83" s="4">
        <v>12593</v>
      </c>
      <c r="W83" s="14">
        <v>53253</v>
      </c>
      <c r="X83" s="2"/>
      <c r="Y83" s="5" t="s">
        <v>2</v>
      </c>
      <c r="Z83" s="5" t="s">
        <v>1522</v>
      </c>
      <c r="AA83" s="5" t="s">
        <v>2</v>
      </c>
      <c r="AB83" s="21" t="s">
        <v>2</v>
      </c>
      <c r="AC83" s="54" t="s">
        <v>4179</v>
      </c>
    </row>
    <row r="84" spans="2:29" x14ac:dyDescent="0.3">
      <c r="B84" s="18" t="s">
        <v>4460</v>
      </c>
      <c r="C84" s="47" t="s">
        <v>222</v>
      </c>
      <c r="D84" s="15" t="s">
        <v>223</v>
      </c>
      <c r="E84" s="55" t="s">
        <v>2</v>
      </c>
      <c r="F84" s="14">
        <v>44651</v>
      </c>
      <c r="G84" s="5" t="s">
        <v>1060</v>
      </c>
      <c r="H84" s="2"/>
      <c r="I84" s="4">
        <v>6976813</v>
      </c>
      <c r="J84" s="4">
        <v>6920000</v>
      </c>
      <c r="K84" s="4">
        <v>6971608</v>
      </c>
      <c r="L84" s="4">
        <v>6931558</v>
      </c>
      <c r="M84" s="4">
        <v>0</v>
      </c>
      <c r="N84" s="4">
        <v>-4068</v>
      </c>
      <c r="O84" s="4">
        <v>0</v>
      </c>
      <c r="P84" s="24">
        <v>-4068</v>
      </c>
      <c r="Q84" s="4">
        <v>0</v>
      </c>
      <c r="R84" s="4">
        <v>6927490</v>
      </c>
      <c r="S84" s="4">
        <v>0</v>
      </c>
      <c r="T84" s="4">
        <v>-7490</v>
      </c>
      <c r="U84" s="24">
        <v>-7490</v>
      </c>
      <c r="V84" s="4">
        <v>169840</v>
      </c>
      <c r="W84" s="14">
        <v>44819</v>
      </c>
      <c r="X84" s="2"/>
      <c r="Y84" s="5" t="s">
        <v>475</v>
      </c>
      <c r="Z84" s="5" t="s">
        <v>3360</v>
      </c>
      <c r="AA84" s="5" t="s">
        <v>3360</v>
      </c>
      <c r="AB84" s="21" t="s">
        <v>2</v>
      </c>
      <c r="AC84" s="54" t="s">
        <v>4179</v>
      </c>
    </row>
    <row r="85" spans="2:29" x14ac:dyDescent="0.3">
      <c r="B85" s="18" t="s">
        <v>1065</v>
      </c>
      <c r="C85" s="47" t="s">
        <v>736</v>
      </c>
      <c r="D85" s="15" t="s">
        <v>3361</v>
      </c>
      <c r="E85" s="55" t="s">
        <v>2</v>
      </c>
      <c r="F85" s="14">
        <v>44696</v>
      </c>
      <c r="G85" s="5" t="s">
        <v>2704</v>
      </c>
      <c r="H85" s="2"/>
      <c r="I85" s="4">
        <v>3000000</v>
      </c>
      <c r="J85" s="4">
        <v>3000000</v>
      </c>
      <c r="K85" s="4">
        <v>2998946</v>
      </c>
      <c r="L85" s="4">
        <v>2999602</v>
      </c>
      <c r="M85" s="4">
        <v>0</v>
      </c>
      <c r="N85" s="4">
        <v>398</v>
      </c>
      <c r="O85" s="4">
        <v>0</v>
      </c>
      <c r="P85" s="24">
        <v>398</v>
      </c>
      <c r="Q85" s="4">
        <v>0</v>
      </c>
      <c r="R85" s="4">
        <v>3000000</v>
      </c>
      <c r="S85" s="4">
        <v>0</v>
      </c>
      <c r="T85" s="4">
        <v>0</v>
      </c>
      <c r="U85" s="24">
        <v>0</v>
      </c>
      <c r="V85" s="4">
        <v>43375</v>
      </c>
      <c r="W85" s="14">
        <v>45945</v>
      </c>
      <c r="X85" s="2"/>
      <c r="Y85" s="5" t="s">
        <v>2</v>
      </c>
      <c r="Z85" s="5" t="s">
        <v>3361</v>
      </c>
      <c r="AA85" s="5" t="s">
        <v>2</v>
      </c>
      <c r="AB85" s="21" t="s">
        <v>2</v>
      </c>
      <c r="AC85" s="54" t="s">
        <v>4179</v>
      </c>
    </row>
    <row r="86" spans="2:29" x14ac:dyDescent="0.3">
      <c r="B86" s="18" t="s">
        <v>2187</v>
      </c>
      <c r="C86" s="47" t="s">
        <v>2221</v>
      </c>
      <c r="D86" s="15" t="s">
        <v>2497</v>
      </c>
      <c r="E86" s="55" t="s">
        <v>2</v>
      </c>
      <c r="F86" s="14">
        <v>44781</v>
      </c>
      <c r="G86" s="5" t="s">
        <v>1867</v>
      </c>
      <c r="H86" s="2"/>
      <c r="I86" s="4">
        <v>5044600</v>
      </c>
      <c r="J86" s="4">
        <v>5000000</v>
      </c>
      <c r="K86" s="4">
        <v>4951050</v>
      </c>
      <c r="L86" s="4">
        <v>4975783</v>
      </c>
      <c r="M86" s="4">
        <v>0</v>
      </c>
      <c r="N86" s="4">
        <v>4307</v>
      </c>
      <c r="O86" s="4">
        <v>0</v>
      </c>
      <c r="P86" s="24">
        <v>4307</v>
      </c>
      <c r="Q86" s="4">
        <v>0</v>
      </c>
      <c r="R86" s="4">
        <v>4980090</v>
      </c>
      <c r="S86" s="4">
        <v>0</v>
      </c>
      <c r="T86" s="4">
        <v>64510</v>
      </c>
      <c r="U86" s="24">
        <v>64510</v>
      </c>
      <c r="V86" s="4">
        <v>179375</v>
      </c>
      <c r="W86" s="14">
        <v>45741</v>
      </c>
      <c r="X86" s="2"/>
      <c r="Y86" s="5" t="s">
        <v>850</v>
      </c>
      <c r="Z86" s="5" t="s">
        <v>3448</v>
      </c>
      <c r="AA86" s="5" t="s">
        <v>2</v>
      </c>
      <c r="AB86" s="21" t="s">
        <v>2</v>
      </c>
      <c r="AC86" s="54" t="s">
        <v>4179</v>
      </c>
    </row>
    <row r="87" spans="2:29" x14ac:dyDescent="0.3">
      <c r="B87" s="18" t="s">
        <v>3318</v>
      </c>
      <c r="C87" s="47" t="s">
        <v>3362</v>
      </c>
      <c r="D87" s="15" t="s">
        <v>1106</v>
      </c>
      <c r="E87" s="55" t="s">
        <v>2</v>
      </c>
      <c r="F87" s="14">
        <v>44918</v>
      </c>
      <c r="G87" s="5" t="s">
        <v>4453</v>
      </c>
      <c r="H87" s="2"/>
      <c r="I87" s="4">
        <v>7165342</v>
      </c>
      <c r="J87" s="4">
        <v>7000000</v>
      </c>
      <c r="K87" s="4">
        <v>7209534</v>
      </c>
      <c r="L87" s="4">
        <v>7201283</v>
      </c>
      <c r="M87" s="4">
        <v>0</v>
      </c>
      <c r="N87" s="4">
        <v>-35933</v>
      </c>
      <c r="O87" s="4">
        <v>0</v>
      </c>
      <c r="P87" s="24">
        <v>-35933</v>
      </c>
      <c r="Q87" s="4">
        <v>0</v>
      </c>
      <c r="R87" s="4">
        <v>7165342</v>
      </c>
      <c r="S87" s="4">
        <v>0</v>
      </c>
      <c r="T87" s="4">
        <v>0</v>
      </c>
      <c r="U87" s="24">
        <v>0</v>
      </c>
      <c r="V87" s="4">
        <v>301817</v>
      </c>
      <c r="W87" s="14">
        <v>46522</v>
      </c>
      <c r="X87" s="2"/>
      <c r="Y87" s="5" t="s">
        <v>2</v>
      </c>
      <c r="Z87" s="5" t="s">
        <v>4237</v>
      </c>
      <c r="AA87" s="5" t="s">
        <v>824</v>
      </c>
      <c r="AB87" s="21" t="s">
        <v>2</v>
      </c>
      <c r="AC87" s="54" t="s">
        <v>4179</v>
      </c>
    </row>
    <row r="88" spans="2:29" x14ac:dyDescent="0.3">
      <c r="B88" s="18" t="s">
        <v>714</v>
      </c>
      <c r="C88" s="47" t="s">
        <v>57</v>
      </c>
      <c r="D88" s="15" t="s">
        <v>4497</v>
      </c>
      <c r="E88" s="55" t="s">
        <v>2</v>
      </c>
      <c r="F88" s="14">
        <v>44775</v>
      </c>
      <c r="G88" s="5" t="s">
        <v>2482</v>
      </c>
      <c r="H88" s="2"/>
      <c r="I88" s="4">
        <v>3006120</v>
      </c>
      <c r="J88" s="4">
        <v>3000000</v>
      </c>
      <c r="K88" s="4">
        <v>2992380</v>
      </c>
      <c r="L88" s="4">
        <v>2996247</v>
      </c>
      <c r="M88" s="4">
        <v>0</v>
      </c>
      <c r="N88" s="4">
        <v>657</v>
      </c>
      <c r="O88" s="4">
        <v>0</v>
      </c>
      <c r="P88" s="24">
        <v>657</v>
      </c>
      <c r="Q88" s="4">
        <v>0</v>
      </c>
      <c r="R88" s="4">
        <v>2996904</v>
      </c>
      <c r="S88" s="4">
        <v>0</v>
      </c>
      <c r="T88" s="4">
        <v>9216</v>
      </c>
      <c r="U88" s="24">
        <v>9216</v>
      </c>
      <c r="V88" s="4">
        <v>105004</v>
      </c>
      <c r="W88" s="14">
        <v>45731</v>
      </c>
      <c r="X88" s="2"/>
      <c r="Y88" s="5" t="s">
        <v>310</v>
      </c>
      <c r="Z88" s="5" t="s">
        <v>542</v>
      </c>
      <c r="AA88" s="5" t="s">
        <v>2</v>
      </c>
      <c r="AB88" s="21" t="s">
        <v>2</v>
      </c>
      <c r="AC88" s="54" t="s">
        <v>4179</v>
      </c>
    </row>
    <row r="89" spans="2:29" x14ac:dyDescent="0.3">
      <c r="B89" s="18" t="s">
        <v>2188</v>
      </c>
      <c r="C89" s="47" t="s">
        <v>2222</v>
      </c>
      <c r="D89" s="15" t="s">
        <v>4239</v>
      </c>
      <c r="E89" s="55" t="s">
        <v>2</v>
      </c>
      <c r="F89" s="14">
        <v>44767</v>
      </c>
      <c r="G89" s="5" t="s">
        <v>2482</v>
      </c>
      <c r="H89" s="2"/>
      <c r="I89" s="4">
        <v>3009330</v>
      </c>
      <c r="J89" s="4">
        <v>3000000</v>
      </c>
      <c r="K89" s="4">
        <v>2999820</v>
      </c>
      <c r="L89" s="4">
        <v>2999908</v>
      </c>
      <c r="M89" s="4">
        <v>0</v>
      </c>
      <c r="N89" s="4">
        <v>15</v>
      </c>
      <c r="O89" s="4">
        <v>0</v>
      </c>
      <c r="P89" s="24">
        <v>15</v>
      </c>
      <c r="Q89" s="4">
        <v>0</v>
      </c>
      <c r="R89" s="4">
        <v>2999923</v>
      </c>
      <c r="S89" s="4">
        <v>0</v>
      </c>
      <c r="T89" s="4">
        <v>9407</v>
      </c>
      <c r="U89" s="24">
        <v>9407</v>
      </c>
      <c r="V89" s="4">
        <v>94563</v>
      </c>
      <c r="W89" s="14">
        <v>45777</v>
      </c>
      <c r="X89" s="2"/>
      <c r="Y89" s="5" t="s">
        <v>4240</v>
      </c>
      <c r="Z89" s="5" t="s">
        <v>1970</v>
      </c>
      <c r="AA89" s="5" t="s">
        <v>3686</v>
      </c>
      <c r="AB89" s="21" t="s">
        <v>2</v>
      </c>
      <c r="AC89" s="54" t="s">
        <v>4179</v>
      </c>
    </row>
    <row r="90" spans="2:29" x14ac:dyDescent="0.3">
      <c r="B90" s="18" t="s">
        <v>3320</v>
      </c>
      <c r="C90" s="47" t="s">
        <v>852</v>
      </c>
      <c r="D90" s="15" t="s">
        <v>1594</v>
      </c>
      <c r="E90" s="55" t="s">
        <v>2</v>
      </c>
      <c r="F90" s="14">
        <v>44811</v>
      </c>
      <c r="G90" s="5" t="s">
        <v>1867</v>
      </c>
      <c r="H90" s="2"/>
      <c r="I90" s="4">
        <v>2447950</v>
      </c>
      <c r="J90" s="4">
        <v>2500000</v>
      </c>
      <c r="K90" s="4">
        <v>2362725</v>
      </c>
      <c r="L90" s="4">
        <v>2435554</v>
      </c>
      <c r="M90" s="4">
        <v>0</v>
      </c>
      <c r="N90" s="4">
        <v>17447</v>
      </c>
      <c r="O90" s="4">
        <v>0</v>
      </c>
      <c r="P90" s="24">
        <v>17447</v>
      </c>
      <c r="Q90" s="4">
        <v>0</v>
      </c>
      <c r="R90" s="4">
        <v>2453001</v>
      </c>
      <c r="S90" s="4">
        <v>0</v>
      </c>
      <c r="T90" s="4">
        <v>-5051</v>
      </c>
      <c r="U90" s="24">
        <v>-5051</v>
      </c>
      <c r="V90" s="4">
        <v>56448</v>
      </c>
      <c r="W90" s="14">
        <v>45458</v>
      </c>
      <c r="X90" s="2"/>
      <c r="Y90" s="5" t="s">
        <v>4241</v>
      </c>
      <c r="Z90" s="5" t="s">
        <v>1972</v>
      </c>
      <c r="AA90" s="5" t="s">
        <v>2</v>
      </c>
      <c r="AB90" s="21" t="s">
        <v>2</v>
      </c>
      <c r="AC90" s="54" t="s">
        <v>4179</v>
      </c>
    </row>
    <row r="91" spans="2:29" x14ac:dyDescent="0.3">
      <c r="B91" s="18" t="s">
        <v>4462</v>
      </c>
      <c r="C91" s="47" t="s">
        <v>737</v>
      </c>
      <c r="D91" s="15" t="s">
        <v>2435</v>
      </c>
      <c r="E91" s="55" t="s">
        <v>2</v>
      </c>
      <c r="F91" s="14">
        <v>44819</v>
      </c>
      <c r="G91" s="5" t="s">
        <v>2704</v>
      </c>
      <c r="H91" s="2"/>
      <c r="I91" s="4">
        <v>4000000</v>
      </c>
      <c r="J91" s="4">
        <v>4000000</v>
      </c>
      <c r="K91" s="4">
        <v>3999674</v>
      </c>
      <c r="L91" s="4">
        <v>3999799</v>
      </c>
      <c r="M91" s="4">
        <v>0</v>
      </c>
      <c r="N91" s="4">
        <v>201</v>
      </c>
      <c r="O91" s="4">
        <v>0</v>
      </c>
      <c r="P91" s="24">
        <v>201</v>
      </c>
      <c r="Q91" s="4">
        <v>0</v>
      </c>
      <c r="R91" s="4">
        <v>4000000</v>
      </c>
      <c r="S91" s="4">
        <v>0</v>
      </c>
      <c r="T91" s="4">
        <v>0</v>
      </c>
      <c r="U91" s="24">
        <v>0</v>
      </c>
      <c r="V91" s="4">
        <v>103200</v>
      </c>
      <c r="W91" s="14">
        <v>45366</v>
      </c>
      <c r="X91" s="2"/>
      <c r="Y91" s="5" t="s">
        <v>2</v>
      </c>
      <c r="Z91" s="5" t="s">
        <v>2435</v>
      </c>
      <c r="AA91" s="5" t="s">
        <v>2</v>
      </c>
      <c r="AB91" s="21" t="s">
        <v>2</v>
      </c>
      <c r="AC91" s="54" t="s">
        <v>4179</v>
      </c>
    </row>
    <row r="92" spans="2:29" x14ac:dyDescent="0.3">
      <c r="B92" s="18" t="s">
        <v>1066</v>
      </c>
      <c r="C92" s="47" t="s">
        <v>3010</v>
      </c>
      <c r="D92" s="15" t="s">
        <v>1372</v>
      </c>
      <c r="E92" s="55" t="s">
        <v>2</v>
      </c>
      <c r="F92" s="14">
        <v>44696</v>
      </c>
      <c r="G92" s="5" t="s">
        <v>2704</v>
      </c>
      <c r="H92" s="2"/>
      <c r="I92" s="4">
        <v>6000000</v>
      </c>
      <c r="J92" s="4">
        <v>6000000</v>
      </c>
      <c r="K92" s="4">
        <v>5999494</v>
      </c>
      <c r="L92" s="4">
        <v>5999508</v>
      </c>
      <c r="M92" s="4">
        <v>0</v>
      </c>
      <c r="N92" s="4">
        <v>492</v>
      </c>
      <c r="O92" s="4">
        <v>0</v>
      </c>
      <c r="P92" s="24">
        <v>492</v>
      </c>
      <c r="Q92" s="4">
        <v>0</v>
      </c>
      <c r="R92" s="4">
        <v>6000000</v>
      </c>
      <c r="S92" s="4">
        <v>0</v>
      </c>
      <c r="T92" s="4">
        <v>0</v>
      </c>
      <c r="U92" s="24">
        <v>0</v>
      </c>
      <c r="V92" s="4">
        <v>89250</v>
      </c>
      <c r="W92" s="14">
        <v>45275</v>
      </c>
      <c r="X92" s="2"/>
      <c r="Y92" s="5" t="s">
        <v>2</v>
      </c>
      <c r="Z92" s="5" t="s">
        <v>2435</v>
      </c>
      <c r="AA92" s="5" t="s">
        <v>4145</v>
      </c>
      <c r="AB92" s="21" t="s">
        <v>2</v>
      </c>
      <c r="AC92" s="54" t="s">
        <v>4179</v>
      </c>
    </row>
    <row r="93" spans="2:29" x14ac:dyDescent="0.3">
      <c r="B93" s="18" t="s">
        <v>2189</v>
      </c>
      <c r="C93" s="47" t="s">
        <v>3011</v>
      </c>
      <c r="D93" s="15" t="s">
        <v>62</v>
      </c>
      <c r="E93" s="55" t="s">
        <v>2</v>
      </c>
      <c r="F93" s="14">
        <v>44866</v>
      </c>
      <c r="G93" s="5" t="s">
        <v>2695</v>
      </c>
      <c r="H93" s="2"/>
      <c r="I93" s="4">
        <v>4959100</v>
      </c>
      <c r="J93" s="4">
        <v>5000000</v>
      </c>
      <c r="K93" s="4">
        <v>4996600</v>
      </c>
      <c r="L93" s="4">
        <v>4999007</v>
      </c>
      <c r="M93" s="4">
        <v>0</v>
      </c>
      <c r="N93" s="4">
        <v>602</v>
      </c>
      <c r="O93" s="4">
        <v>0</v>
      </c>
      <c r="P93" s="24">
        <v>602</v>
      </c>
      <c r="Q93" s="4">
        <v>0</v>
      </c>
      <c r="R93" s="4">
        <v>4999608</v>
      </c>
      <c r="S93" s="4">
        <v>0</v>
      </c>
      <c r="T93" s="4">
        <v>-40508</v>
      </c>
      <c r="U93" s="24">
        <v>-40508</v>
      </c>
      <c r="V93" s="4">
        <v>166750</v>
      </c>
      <c r="W93" s="14">
        <v>45061</v>
      </c>
      <c r="X93" s="2"/>
      <c r="Y93" s="5" t="s">
        <v>2330</v>
      </c>
      <c r="Z93" s="5" t="s">
        <v>3104</v>
      </c>
      <c r="AA93" s="5" t="s">
        <v>3104</v>
      </c>
      <c r="AB93" s="21" t="s">
        <v>2</v>
      </c>
      <c r="AC93" s="54" t="s">
        <v>4179</v>
      </c>
    </row>
    <row r="94" spans="2:29" x14ac:dyDescent="0.3">
      <c r="B94" s="18" t="s">
        <v>3321</v>
      </c>
      <c r="C94" s="47" t="s">
        <v>2223</v>
      </c>
      <c r="D94" s="15" t="s">
        <v>62</v>
      </c>
      <c r="E94" s="55" t="s">
        <v>2</v>
      </c>
      <c r="F94" s="14">
        <v>44867</v>
      </c>
      <c r="G94" s="5" t="s">
        <v>2981</v>
      </c>
      <c r="H94" s="2"/>
      <c r="I94" s="4">
        <v>4940950</v>
      </c>
      <c r="J94" s="4">
        <v>5000000</v>
      </c>
      <c r="K94" s="4">
        <v>4997500</v>
      </c>
      <c r="L94" s="4">
        <v>4998980</v>
      </c>
      <c r="M94" s="4">
        <v>0</v>
      </c>
      <c r="N94" s="4">
        <v>436</v>
      </c>
      <c r="O94" s="4">
        <v>0</v>
      </c>
      <c r="P94" s="24">
        <v>436</v>
      </c>
      <c r="Q94" s="4">
        <v>0</v>
      </c>
      <c r="R94" s="4">
        <v>4999415</v>
      </c>
      <c r="S94" s="4">
        <v>0</v>
      </c>
      <c r="T94" s="4">
        <v>-58465</v>
      </c>
      <c r="U94" s="24">
        <v>-58465</v>
      </c>
      <c r="V94" s="4">
        <v>165771</v>
      </c>
      <c r="W94" s="14">
        <v>45267</v>
      </c>
      <c r="X94" s="2"/>
      <c r="Y94" s="5" t="s">
        <v>2330</v>
      </c>
      <c r="Z94" s="5" t="s">
        <v>3104</v>
      </c>
      <c r="AA94" s="5" t="s">
        <v>3104</v>
      </c>
      <c r="AB94" s="21" t="s">
        <v>2</v>
      </c>
      <c r="AC94" s="54" t="s">
        <v>4179</v>
      </c>
    </row>
    <row r="95" spans="2:29" x14ac:dyDescent="0.3">
      <c r="B95" s="18" t="s">
        <v>4463</v>
      </c>
      <c r="C95" s="47" t="s">
        <v>3867</v>
      </c>
      <c r="D95" s="15" t="s">
        <v>62</v>
      </c>
      <c r="E95" s="55" t="s">
        <v>2</v>
      </c>
      <c r="F95" s="14">
        <v>44642</v>
      </c>
      <c r="G95" s="5" t="s">
        <v>1373</v>
      </c>
      <c r="H95" s="2"/>
      <c r="I95" s="4">
        <v>5012300</v>
      </c>
      <c r="J95" s="4">
        <v>5000000</v>
      </c>
      <c r="K95" s="4">
        <v>4993050</v>
      </c>
      <c r="L95" s="4">
        <v>4998389</v>
      </c>
      <c r="M95" s="4">
        <v>0</v>
      </c>
      <c r="N95" s="4">
        <v>543</v>
      </c>
      <c r="O95" s="4">
        <v>0</v>
      </c>
      <c r="P95" s="24">
        <v>543</v>
      </c>
      <c r="Q95" s="4">
        <v>0</v>
      </c>
      <c r="R95" s="4">
        <v>4998932</v>
      </c>
      <c r="S95" s="4">
        <v>0</v>
      </c>
      <c r="T95" s="4">
        <v>13368</v>
      </c>
      <c r="U95" s="24">
        <v>13368</v>
      </c>
      <c r="V95" s="4">
        <v>52250</v>
      </c>
      <c r="W95" s="14">
        <v>44810</v>
      </c>
      <c r="X95" s="2"/>
      <c r="Y95" s="5" t="s">
        <v>2330</v>
      </c>
      <c r="Z95" s="5" t="s">
        <v>3104</v>
      </c>
      <c r="AA95" s="5" t="s">
        <v>3104</v>
      </c>
      <c r="AB95" s="21" t="s">
        <v>2</v>
      </c>
      <c r="AC95" s="54" t="s">
        <v>4179</v>
      </c>
    </row>
    <row r="96" spans="2:29" x14ac:dyDescent="0.3">
      <c r="B96" s="18" t="s">
        <v>1067</v>
      </c>
      <c r="C96" s="47" t="s">
        <v>738</v>
      </c>
      <c r="D96" s="15" t="s">
        <v>1012</v>
      </c>
      <c r="E96" s="55" t="s">
        <v>2</v>
      </c>
      <c r="F96" s="14">
        <v>44910</v>
      </c>
      <c r="G96" s="5" t="s">
        <v>2704</v>
      </c>
      <c r="H96" s="2"/>
      <c r="I96" s="4">
        <v>3340000</v>
      </c>
      <c r="J96" s="4">
        <v>3340000</v>
      </c>
      <c r="K96" s="4">
        <v>3339831</v>
      </c>
      <c r="L96" s="4">
        <v>3339697</v>
      </c>
      <c r="M96" s="4">
        <v>0</v>
      </c>
      <c r="N96" s="4">
        <v>303</v>
      </c>
      <c r="O96" s="4">
        <v>0</v>
      </c>
      <c r="P96" s="24">
        <v>303</v>
      </c>
      <c r="Q96" s="4">
        <v>0</v>
      </c>
      <c r="R96" s="4">
        <v>3340000</v>
      </c>
      <c r="S96" s="4">
        <v>0</v>
      </c>
      <c r="T96" s="4">
        <v>0</v>
      </c>
      <c r="U96" s="24">
        <v>0</v>
      </c>
      <c r="V96" s="4">
        <v>114326</v>
      </c>
      <c r="W96" s="14">
        <v>47863</v>
      </c>
      <c r="X96" s="2"/>
      <c r="Y96" s="5" t="s">
        <v>2</v>
      </c>
      <c r="Z96" s="5" t="s">
        <v>1797</v>
      </c>
      <c r="AA96" s="5" t="s">
        <v>824</v>
      </c>
      <c r="AB96" s="21" t="s">
        <v>2</v>
      </c>
      <c r="AC96" s="54" t="s">
        <v>4179</v>
      </c>
    </row>
    <row r="97" spans="2:29" x14ac:dyDescent="0.3">
      <c r="B97" s="18" t="s">
        <v>2190</v>
      </c>
      <c r="C97" s="47" t="s">
        <v>656</v>
      </c>
      <c r="D97" s="15" t="s">
        <v>1012</v>
      </c>
      <c r="E97" s="55" t="s">
        <v>2</v>
      </c>
      <c r="F97" s="14">
        <v>44910</v>
      </c>
      <c r="G97" s="5" t="s">
        <v>2704</v>
      </c>
      <c r="H97" s="2"/>
      <c r="I97" s="4">
        <v>1073790</v>
      </c>
      <c r="J97" s="4">
        <v>1073790</v>
      </c>
      <c r="K97" s="4">
        <v>1073529</v>
      </c>
      <c r="L97" s="4">
        <v>1073725</v>
      </c>
      <c r="M97" s="4">
        <v>0</v>
      </c>
      <c r="N97" s="4">
        <v>65</v>
      </c>
      <c r="O97" s="4">
        <v>0</v>
      </c>
      <c r="P97" s="24">
        <v>65</v>
      </c>
      <c r="Q97" s="4">
        <v>0</v>
      </c>
      <c r="R97" s="4">
        <v>1073790</v>
      </c>
      <c r="S97" s="4">
        <v>0</v>
      </c>
      <c r="T97" s="4">
        <v>0</v>
      </c>
      <c r="U97" s="24">
        <v>0</v>
      </c>
      <c r="V97" s="4">
        <v>40911</v>
      </c>
      <c r="W97" s="14">
        <v>47863</v>
      </c>
      <c r="X97" s="2"/>
      <c r="Y97" s="5" t="s">
        <v>2</v>
      </c>
      <c r="Z97" s="5" t="s">
        <v>1797</v>
      </c>
      <c r="AA97" s="5" t="s">
        <v>824</v>
      </c>
      <c r="AB97" s="21" t="s">
        <v>2</v>
      </c>
      <c r="AC97" s="54" t="s">
        <v>4179</v>
      </c>
    </row>
    <row r="98" spans="2:29" x14ac:dyDescent="0.3">
      <c r="B98" s="18" t="s">
        <v>4464</v>
      </c>
      <c r="C98" s="47" t="s">
        <v>1374</v>
      </c>
      <c r="D98" s="15" t="s">
        <v>1012</v>
      </c>
      <c r="E98" s="55" t="s">
        <v>2</v>
      </c>
      <c r="F98" s="14">
        <v>44910</v>
      </c>
      <c r="G98" s="5" t="s">
        <v>2704</v>
      </c>
      <c r="H98" s="2"/>
      <c r="I98" s="4">
        <v>3000000</v>
      </c>
      <c r="J98" s="4">
        <v>3000000</v>
      </c>
      <c r="K98" s="4">
        <v>2999701</v>
      </c>
      <c r="L98" s="4">
        <v>2999728</v>
      </c>
      <c r="M98" s="4">
        <v>0</v>
      </c>
      <c r="N98" s="4">
        <v>272</v>
      </c>
      <c r="O98" s="4">
        <v>0</v>
      </c>
      <c r="P98" s="24">
        <v>272</v>
      </c>
      <c r="Q98" s="4">
        <v>0</v>
      </c>
      <c r="R98" s="4">
        <v>3000000</v>
      </c>
      <c r="S98" s="4">
        <v>0</v>
      </c>
      <c r="T98" s="4">
        <v>0</v>
      </c>
      <c r="U98" s="24">
        <v>0</v>
      </c>
      <c r="V98" s="4">
        <v>87998</v>
      </c>
      <c r="W98" s="14">
        <v>47953</v>
      </c>
      <c r="X98" s="2"/>
      <c r="Y98" s="5" t="s">
        <v>2</v>
      </c>
      <c r="Z98" s="5" t="s">
        <v>1797</v>
      </c>
      <c r="AA98" s="5" t="s">
        <v>824</v>
      </c>
      <c r="AB98" s="21" t="s">
        <v>2</v>
      </c>
      <c r="AC98" s="54" t="s">
        <v>4179</v>
      </c>
    </row>
    <row r="99" spans="2:29" x14ac:dyDescent="0.3">
      <c r="B99" s="18" t="s">
        <v>1068</v>
      </c>
      <c r="C99" s="47" t="s">
        <v>3784</v>
      </c>
      <c r="D99" s="15" t="s">
        <v>1012</v>
      </c>
      <c r="E99" s="55" t="s">
        <v>2</v>
      </c>
      <c r="F99" s="14">
        <v>44910</v>
      </c>
      <c r="G99" s="5" t="s">
        <v>2704</v>
      </c>
      <c r="H99" s="2"/>
      <c r="I99" s="4">
        <v>1242845</v>
      </c>
      <c r="J99" s="4">
        <v>1242845</v>
      </c>
      <c r="K99" s="4">
        <v>1242555</v>
      </c>
      <c r="L99" s="4">
        <v>1242708</v>
      </c>
      <c r="M99" s="4">
        <v>0</v>
      </c>
      <c r="N99" s="4">
        <v>136</v>
      </c>
      <c r="O99" s="4">
        <v>0</v>
      </c>
      <c r="P99" s="24">
        <v>136</v>
      </c>
      <c r="Q99" s="4">
        <v>0</v>
      </c>
      <c r="R99" s="4">
        <v>1242845</v>
      </c>
      <c r="S99" s="4">
        <v>0</v>
      </c>
      <c r="T99" s="4">
        <v>0</v>
      </c>
      <c r="U99" s="24">
        <v>0</v>
      </c>
      <c r="V99" s="4">
        <v>41511</v>
      </c>
      <c r="W99" s="14">
        <v>47953</v>
      </c>
      <c r="X99" s="2"/>
      <c r="Y99" s="5" t="s">
        <v>2</v>
      </c>
      <c r="Z99" s="5" t="s">
        <v>1797</v>
      </c>
      <c r="AA99" s="5" t="s">
        <v>824</v>
      </c>
      <c r="AB99" s="21" t="s">
        <v>2</v>
      </c>
      <c r="AC99" s="54" t="s">
        <v>4179</v>
      </c>
    </row>
    <row r="100" spans="2:29" x14ac:dyDescent="0.3">
      <c r="B100" s="18" t="s">
        <v>2191</v>
      </c>
      <c r="C100" s="47" t="s">
        <v>4146</v>
      </c>
      <c r="D100" s="15" t="s">
        <v>4147</v>
      </c>
      <c r="E100" s="55" t="s">
        <v>2</v>
      </c>
      <c r="F100" s="14">
        <v>44662</v>
      </c>
      <c r="G100" s="5" t="s">
        <v>3313</v>
      </c>
      <c r="H100" s="2"/>
      <c r="I100" s="4">
        <v>1017740</v>
      </c>
      <c r="J100" s="4">
        <v>1000000</v>
      </c>
      <c r="K100" s="4">
        <v>1014190</v>
      </c>
      <c r="L100" s="4">
        <v>1005770</v>
      </c>
      <c r="M100" s="4">
        <v>0</v>
      </c>
      <c r="N100" s="4">
        <v>-728</v>
      </c>
      <c r="O100" s="4">
        <v>0</v>
      </c>
      <c r="P100" s="24">
        <v>-728</v>
      </c>
      <c r="Q100" s="4">
        <v>0</v>
      </c>
      <c r="R100" s="4">
        <v>1005042</v>
      </c>
      <c r="S100" s="4">
        <v>0</v>
      </c>
      <c r="T100" s="4">
        <v>12698</v>
      </c>
      <c r="U100" s="24">
        <v>12698</v>
      </c>
      <c r="V100" s="4">
        <v>22052</v>
      </c>
      <c r="W100" s="14">
        <v>45355</v>
      </c>
      <c r="X100" s="2"/>
      <c r="Y100" s="5" t="s">
        <v>1873</v>
      </c>
      <c r="Z100" s="5" t="s">
        <v>1107</v>
      </c>
      <c r="AA100" s="5" t="s">
        <v>2</v>
      </c>
      <c r="AB100" s="21" t="s">
        <v>2</v>
      </c>
      <c r="AC100" s="54" t="s">
        <v>4179</v>
      </c>
    </row>
    <row r="101" spans="2:29" x14ac:dyDescent="0.3">
      <c r="B101" s="18" t="s">
        <v>3323</v>
      </c>
      <c r="C101" s="47" t="s">
        <v>476</v>
      </c>
      <c r="D101" s="15" t="s">
        <v>477</v>
      </c>
      <c r="E101" s="55" t="s">
        <v>2</v>
      </c>
      <c r="F101" s="14">
        <v>44662</v>
      </c>
      <c r="G101" s="5" t="s">
        <v>1581</v>
      </c>
      <c r="H101" s="2"/>
      <c r="I101" s="4">
        <v>4824144</v>
      </c>
      <c r="J101" s="4">
        <v>4800000</v>
      </c>
      <c r="K101" s="4">
        <v>4792128</v>
      </c>
      <c r="L101" s="4">
        <v>4798595</v>
      </c>
      <c r="M101" s="4">
        <v>0</v>
      </c>
      <c r="N101" s="4">
        <v>335</v>
      </c>
      <c r="O101" s="4">
        <v>0</v>
      </c>
      <c r="P101" s="24">
        <v>335</v>
      </c>
      <c r="Q101" s="4">
        <v>0</v>
      </c>
      <c r="R101" s="4">
        <v>4798930</v>
      </c>
      <c r="S101" s="4">
        <v>0</v>
      </c>
      <c r="T101" s="4">
        <v>25214</v>
      </c>
      <c r="U101" s="24">
        <v>25214</v>
      </c>
      <c r="V101" s="4">
        <v>78000</v>
      </c>
      <c r="W101" s="14">
        <v>44985</v>
      </c>
      <c r="X101" s="2"/>
      <c r="Y101" s="5" t="s">
        <v>1873</v>
      </c>
      <c r="Z101" s="5" t="s">
        <v>1107</v>
      </c>
      <c r="AA101" s="5" t="s">
        <v>2</v>
      </c>
      <c r="AB101" s="21" t="s">
        <v>2</v>
      </c>
      <c r="AC101" s="54" t="s">
        <v>4179</v>
      </c>
    </row>
    <row r="102" spans="2:29" x14ac:dyDescent="0.3">
      <c r="B102" s="18" t="s">
        <v>4465</v>
      </c>
      <c r="C102" s="47" t="s">
        <v>1375</v>
      </c>
      <c r="D102" s="15" t="s">
        <v>1874</v>
      </c>
      <c r="E102" s="55" t="s">
        <v>2</v>
      </c>
      <c r="F102" s="14">
        <v>44594</v>
      </c>
      <c r="G102" s="5" t="s">
        <v>1060</v>
      </c>
      <c r="H102" s="2"/>
      <c r="I102" s="4">
        <v>11041250</v>
      </c>
      <c r="J102" s="4">
        <v>11000000</v>
      </c>
      <c r="K102" s="4">
        <v>11555584</v>
      </c>
      <c r="L102" s="4">
        <v>11512295</v>
      </c>
      <c r="M102" s="4">
        <v>0</v>
      </c>
      <c r="N102" s="4">
        <v>-5344</v>
      </c>
      <c r="O102" s="4">
        <v>0</v>
      </c>
      <c r="P102" s="24">
        <v>-5344</v>
      </c>
      <c r="Q102" s="4">
        <v>0</v>
      </c>
      <c r="R102" s="4">
        <v>11506951</v>
      </c>
      <c r="S102" s="4">
        <v>0</v>
      </c>
      <c r="T102" s="4">
        <v>-465701</v>
      </c>
      <c r="U102" s="24">
        <v>-465701</v>
      </c>
      <c r="V102" s="4">
        <v>154275</v>
      </c>
      <c r="W102" s="14">
        <v>47543</v>
      </c>
      <c r="X102" s="2"/>
      <c r="Y102" s="5" t="s">
        <v>2707</v>
      </c>
      <c r="Z102" s="5" t="s">
        <v>1376</v>
      </c>
      <c r="AA102" s="5" t="s">
        <v>1595</v>
      </c>
      <c r="AB102" s="21" t="s">
        <v>2</v>
      </c>
      <c r="AC102" s="54" t="s">
        <v>4179</v>
      </c>
    </row>
    <row r="103" spans="2:29" x14ac:dyDescent="0.3">
      <c r="B103" s="18" t="s">
        <v>1069</v>
      </c>
      <c r="C103" s="47" t="s">
        <v>1377</v>
      </c>
      <c r="D103" s="15" t="s">
        <v>2708</v>
      </c>
      <c r="E103" s="55" t="s">
        <v>2</v>
      </c>
      <c r="F103" s="14">
        <v>44799</v>
      </c>
      <c r="G103" s="5" t="s">
        <v>730</v>
      </c>
      <c r="H103" s="2"/>
      <c r="I103" s="4">
        <v>950483</v>
      </c>
      <c r="J103" s="4">
        <v>950483</v>
      </c>
      <c r="K103" s="4">
        <v>950483</v>
      </c>
      <c r="L103" s="4">
        <v>950483</v>
      </c>
      <c r="M103" s="4">
        <v>0</v>
      </c>
      <c r="N103" s="4">
        <v>0</v>
      </c>
      <c r="O103" s="4">
        <v>0</v>
      </c>
      <c r="P103" s="24">
        <v>0</v>
      </c>
      <c r="Q103" s="4">
        <v>0</v>
      </c>
      <c r="R103" s="4">
        <v>950483</v>
      </c>
      <c r="S103" s="4">
        <v>0</v>
      </c>
      <c r="T103" s="4">
        <v>0</v>
      </c>
      <c r="U103" s="24">
        <v>0</v>
      </c>
      <c r="V103" s="4">
        <v>31651</v>
      </c>
      <c r="W103" s="14">
        <v>44799</v>
      </c>
      <c r="X103" s="2"/>
      <c r="Y103" s="5" t="s">
        <v>2</v>
      </c>
      <c r="Z103" s="5" t="s">
        <v>1875</v>
      </c>
      <c r="AA103" s="5" t="s">
        <v>1875</v>
      </c>
      <c r="AB103" s="21" t="s">
        <v>2</v>
      </c>
      <c r="AC103" s="54" t="s">
        <v>4179</v>
      </c>
    </row>
    <row r="104" spans="2:29" x14ac:dyDescent="0.3">
      <c r="B104" s="18" t="s">
        <v>2192</v>
      </c>
      <c r="C104" s="47" t="s">
        <v>1876</v>
      </c>
      <c r="D104" s="15" t="s">
        <v>3619</v>
      </c>
      <c r="E104" s="55" t="s">
        <v>2</v>
      </c>
      <c r="F104" s="14">
        <v>44576</v>
      </c>
      <c r="G104" s="5" t="s">
        <v>2704</v>
      </c>
      <c r="H104" s="2"/>
      <c r="I104" s="4">
        <v>4500000</v>
      </c>
      <c r="J104" s="4">
        <v>4500000</v>
      </c>
      <c r="K104" s="4">
        <v>4498398</v>
      </c>
      <c r="L104" s="4">
        <v>4499474</v>
      </c>
      <c r="M104" s="4">
        <v>0</v>
      </c>
      <c r="N104" s="4">
        <v>526</v>
      </c>
      <c r="O104" s="4">
        <v>0</v>
      </c>
      <c r="P104" s="24">
        <v>526</v>
      </c>
      <c r="Q104" s="4">
        <v>0</v>
      </c>
      <c r="R104" s="4">
        <v>4500000</v>
      </c>
      <c r="S104" s="4">
        <v>0</v>
      </c>
      <c r="T104" s="4">
        <v>0</v>
      </c>
      <c r="U104" s="24">
        <v>0</v>
      </c>
      <c r="V104" s="4">
        <v>9525</v>
      </c>
      <c r="W104" s="14">
        <v>45792</v>
      </c>
      <c r="X104" s="2"/>
      <c r="Y104" s="5" t="s">
        <v>2</v>
      </c>
      <c r="Z104" s="5" t="s">
        <v>3619</v>
      </c>
      <c r="AA104" s="5" t="s">
        <v>2</v>
      </c>
      <c r="AB104" s="21" t="s">
        <v>2</v>
      </c>
      <c r="AC104" s="54" t="s">
        <v>4179</v>
      </c>
    </row>
    <row r="105" spans="2:29" x14ac:dyDescent="0.3">
      <c r="B105" s="18" t="s">
        <v>3324</v>
      </c>
      <c r="C105" s="47" t="s">
        <v>3012</v>
      </c>
      <c r="D105" s="15" t="s">
        <v>739</v>
      </c>
      <c r="E105" s="55" t="s">
        <v>2</v>
      </c>
      <c r="F105" s="14">
        <v>44690</v>
      </c>
      <c r="G105" s="5" t="s">
        <v>4453</v>
      </c>
      <c r="H105" s="2"/>
      <c r="I105" s="4">
        <v>3057423</v>
      </c>
      <c r="J105" s="4">
        <v>3000000</v>
      </c>
      <c r="K105" s="4">
        <v>3069849</v>
      </c>
      <c r="L105" s="4">
        <v>3061030</v>
      </c>
      <c r="M105" s="4">
        <v>0</v>
      </c>
      <c r="N105" s="4">
        <v>-3608</v>
      </c>
      <c r="O105" s="4">
        <v>0</v>
      </c>
      <c r="P105" s="24">
        <v>-3608</v>
      </c>
      <c r="Q105" s="4">
        <v>0</v>
      </c>
      <c r="R105" s="4">
        <v>3057423</v>
      </c>
      <c r="S105" s="4">
        <v>0</v>
      </c>
      <c r="T105" s="4">
        <v>0</v>
      </c>
      <c r="U105" s="24">
        <v>0</v>
      </c>
      <c r="V105" s="4">
        <v>68125</v>
      </c>
      <c r="W105" s="14">
        <v>46661</v>
      </c>
      <c r="X105" s="2"/>
      <c r="Y105" s="5" t="s">
        <v>3689</v>
      </c>
      <c r="Z105" s="5" t="s">
        <v>1211</v>
      </c>
      <c r="AA105" s="5" t="s">
        <v>824</v>
      </c>
      <c r="AB105" s="21" t="s">
        <v>2</v>
      </c>
      <c r="AC105" s="54" t="s">
        <v>4179</v>
      </c>
    </row>
    <row r="106" spans="2:29" x14ac:dyDescent="0.3">
      <c r="B106" s="18" t="s">
        <v>4467</v>
      </c>
      <c r="C106" s="47" t="s">
        <v>1108</v>
      </c>
      <c r="D106" s="15" t="s">
        <v>3113</v>
      </c>
      <c r="E106" s="55" t="s">
        <v>2</v>
      </c>
      <c r="F106" s="14">
        <v>44720</v>
      </c>
      <c r="G106" s="5" t="s">
        <v>740</v>
      </c>
      <c r="H106" s="2"/>
      <c r="I106" s="4">
        <v>5076194</v>
      </c>
      <c r="J106" s="4">
        <v>5000000</v>
      </c>
      <c r="K106" s="4">
        <v>5206250</v>
      </c>
      <c r="L106" s="4">
        <v>5046574</v>
      </c>
      <c r="M106" s="4">
        <v>0</v>
      </c>
      <c r="N106" s="4">
        <v>-14997</v>
      </c>
      <c r="O106" s="4">
        <v>0</v>
      </c>
      <c r="P106" s="24">
        <v>-14997</v>
      </c>
      <c r="Q106" s="4">
        <v>0</v>
      </c>
      <c r="R106" s="4">
        <v>5031576</v>
      </c>
      <c r="S106" s="4">
        <v>0</v>
      </c>
      <c r="T106" s="4">
        <v>-31576</v>
      </c>
      <c r="U106" s="24">
        <v>-31576</v>
      </c>
      <c r="V106" s="4">
        <v>204285</v>
      </c>
      <c r="W106" s="14">
        <v>45047</v>
      </c>
      <c r="X106" s="2"/>
      <c r="Y106" s="5" t="s">
        <v>1979</v>
      </c>
      <c r="Z106" s="5" t="s">
        <v>3113</v>
      </c>
      <c r="AA106" s="5" t="s">
        <v>2</v>
      </c>
      <c r="AB106" s="21" t="s">
        <v>2</v>
      </c>
      <c r="AC106" s="54" t="s">
        <v>4179</v>
      </c>
    </row>
    <row r="107" spans="2:29" x14ac:dyDescent="0.3">
      <c r="B107" s="18" t="s">
        <v>1352</v>
      </c>
      <c r="C107" s="47" t="s">
        <v>4251</v>
      </c>
      <c r="D107" s="15" t="s">
        <v>320</v>
      </c>
      <c r="E107" s="55" t="s">
        <v>2</v>
      </c>
      <c r="F107" s="14">
        <v>44706</v>
      </c>
      <c r="G107" s="5" t="s">
        <v>1060</v>
      </c>
      <c r="H107" s="2"/>
      <c r="I107" s="4">
        <v>7931440</v>
      </c>
      <c r="J107" s="4">
        <v>8000000</v>
      </c>
      <c r="K107" s="4">
        <v>7959755</v>
      </c>
      <c r="L107" s="4">
        <v>7982674</v>
      </c>
      <c r="M107" s="4">
        <v>0</v>
      </c>
      <c r="N107" s="4">
        <v>2587</v>
      </c>
      <c r="O107" s="4">
        <v>0</v>
      </c>
      <c r="P107" s="24">
        <v>2587</v>
      </c>
      <c r="Q107" s="4">
        <v>0</v>
      </c>
      <c r="R107" s="4">
        <v>7985260</v>
      </c>
      <c r="S107" s="4">
        <v>0</v>
      </c>
      <c r="T107" s="4">
        <v>-53820</v>
      </c>
      <c r="U107" s="24">
        <v>-53820</v>
      </c>
      <c r="V107" s="4">
        <v>197400</v>
      </c>
      <c r="W107" s="14">
        <v>45519</v>
      </c>
      <c r="X107" s="2"/>
      <c r="Y107" s="5" t="s">
        <v>3691</v>
      </c>
      <c r="Z107" s="5" t="s">
        <v>70</v>
      </c>
      <c r="AA107" s="5" t="s">
        <v>824</v>
      </c>
      <c r="AB107" s="21" t="s">
        <v>2</v>
      </c>
      <c r="AC107" s="54" t="s">
        <v>4179</v>
      </c>
    </row>
    <row r="108" spans="2:29" x14ac:dyDescent="0.3">
      <c r="B108" s="18" t="s">
        <v>3325</v>
      </c>
      <c r="C108" s="47" t="s">
        <v>4148</v>
      </c>
      <c r="D108" s="15" t="s">
        <v>3458</v>
      </c>
      <c r="E108" s="55" t="s">
        <v>2</v>
      </c>
      <c r="F108" s="14">
        <v>44781</v>
      </c>
      <c r="G108" s="5" t="s">
        <v>1058</v>
      </c>
      <c r="H108" s="2"/>
      <c r="I108" s="4">
        <v>3937600</v>
      </c>
      <c r="J108" s="4">
        <v>4000000</v>
      </c>
      <c r="K108" s="4">
        <v>3797080</v>
      </c>
      <c r="L108" s="4">
        <v>3900616</v>
      </c>
      <c r="M108" s="4">
        <v>0</v>
      </c>
      <c r="N108" s="4">
        <v>21701</v>
      </c>
      <c r="O108" s="4">
        <v>0</v>
      </c>
      <c r="P108" s="24">
        <v>21701</v>
      </c>
      <c r="Q108" s="4">
        <v>0</v>
      </c>
      <c r="R108" s="4">
        <v>3922317</v>
      </c>
      <c r="S108" s="4">
        <v>0</v>
      </c>
      <c r="T108" s="4">
        <v>15283</v>
      </c>
      <c r="U108" s="24">
        <v>15283</v>
      </c>
      <c r="V108" s="4">
        <v>120533</v>
      </c>
      <c r="W108" s="14">
        <v>45536</v>
      </c>
      <c r="X108" s="2"/>
      <c r="Y108" s="5" t="s">
        <v>553</v>
      </c>
      <c r="Z108" s="5" t="s">
        <v>3458</v>
      </c>
      <c r="AA108" s="5" t="s">
        <v>2</v>
      </c>
      <c r="AB108" s="21" t="s">
        <v>2</v>
      </c>
      <c r="AC108" s="54" t="s">
        <v>4179</v>
      </c>
    </row>
    <row r="109" spans="2:29" x14ac:dyDescent="0.3">
      <c r="B109" s="18" t="s">
        <v>4468</v>
      </c>
      <c r="C109" s="47" t="s">
        <v>659</v>
      </c>
      <c r="D109" s="15" t="s">
        <v>1310</v>
      </c>
      <c r="E109" s="55" t="s">
        <v>2</v>
      </c>
      <c r="F109" s="14">
        <v>44887</v>
      </c>
      <c r="G109" s="5" t="s">
        <v>2704</v>
      </c>
      <c r="H109" s="2"/>
      <c r="I109" s="4">
        <v>120000</v>
      </c>
      <c r="J109" s="4">
        <v>120000</v>
      </c>
      <c r="K109" s="4">
        <v>120000</v>
      </c>
      <c r="L109" s="4">
        <v>120000</v>
      </c>
      <c r="M109" s="4">
        <v>0</v>
      </c>
      <c r="N109" s="4">
        <v>0</v>
      </c>
      <c r="O109" s="4">
        <v>0</v>
      </c>
      <c r="P109" s="24">
        <v>0</v>
      </c>
      <c r="Q109" s="4">
        <v>0</v>
      </c>
      <c r="R109" s="4">
        <v>120000</v>
      </c>
      <c r="S109" s="4">
        <v>0</v>
      </c>
      <c r="T109" s="4">
        <v>0</v>
      </c>
      <c r="U109" s="24">
        <v>0</v>
      </c>
      <c r="V109" s="4">
        <v>2111</v>
      </c>
      <c r="W109" s="14">
        <v>55477</v>
      </c>
      <c r="X109" s="2"/>
      <c r="Y109" s="5" t="s">
        <v>2</v>
      </c>
      <c r="Z109" s="5" t="s">
        <v>1799</v>
      </c>
      <c r="AA109" s="5" t="s">
        <v>824</v>
      </c>
      <c r="AB109" s="21" t="s">
        <v>2</v>
      </c>
      <c r="AC109" s="54" t="s">
        <v>4179</v>
      </c>
    </row>
    <row r="110" spans="2:29" x14ac:dyDescent="0.3">
      <c r="B110" s="18" t="s">
        <v>1070</v>
      </c>
      <c r="C110" s="47" t="s">
        <v>1877</v>
      </c>
      <c r="D110" s="15" t="s">
        <v>1987</v>
      </c>
      <c r="E110" s="55" t="s">
        <v>2</v>
      </c>
      <c r="F110" s="14">
        <v>44642</v>
      </c>
      <c r="G110" s="5" t="s">
        <v>1060</v>
      </c>
      <c r="H110" s="2"/>
      <c r="I110" s="4">
        <v>3512600</v>
      </c>
      <c r="J110" s="4">
        <v>3500000</v>
      </c>
      <c r="K110" s="4">
        <v>3469428</v>
      </c>
      <c r="L110" s="4">
        <v>3493917</v>
      </c>
      <c r="M110" s="4">
        <v>0</v>
      </c>
      <c r="N110" s="4">
        <v>2030</v>
      </c>
      <c r="O110" s="4">
        <v>0</v>
      </c>
      <c r="P110" s="24">
        <v>2030</v>
      </c>
      <c r="Q110" s="4">
        <v>0</v>
      </c>
      <c r="R110" s="4">
        <v>3495947</v>
      </c>
      <c r="S110" s="4">
        <v>0</v>
      </c>
      <c r="T110" s="4">
        <v>16653</v>
      </c>
      <c r="U110" s="24">
        <v>16653</v>
      </c>
      <c r="V110" s="4">
        <v>40969</v>
      </c>
      <c r="W110" s="14">
        <v>44812</v>
      </c>
      <c r="X110" s="2"/>
      <c r="Y110" s="5" t="s">
        <v>3692</v>
      </c>
      <c r="Z110" s="5" t="s">
        <v>1987</v>
      </c>
      <c r="AA110" s="5" t="s">
        <v>2</v>
      </c>
      <c r="AB110" s="21" t="s">
        <v>2</v>
      </c>
      <c r="AC110" s="54" t="s">
        <v>4179</v>
      </c>
    </row>
    <row r="111" spans="2:29" x14ac:dyDescent="0.3">
      <c r="B111" s="18" t="s">
        <v>2193</v>
      </c>
      <c r="C111" s="47" t="s">
        <v>224</v>
      </c>
      <c r="D111" s="15" t="s">
        <v>1987</v>
      </c>
      <c r="E111" s="55" t="s">
        <v>2</v>
      </c>
      <c r="F111" s="14">
        <v>44866</v>
      </c>
      <c r="G111" s="5" t="s">
        <v>2695</v>
      </c>
      <c r="H111" s="2"/>
      <c r="I111" s="4">
        <v>2973300</v>
      </c>
      <c r="J111" s="4">
        <v>3000000</v>
      </c>
      <c r="K111" s="4">
        <v>2998350</v>
      </c>
      <c r="L111" s="4">
        <v>2999498</v>
      </c>
      <c r="M111" s="4">
        <v>0</v>
      </c>
      <c r="N111" s="4">
        <v>291</v>
      </c>
      <c r="O111" s="4">
        <v>0</v>
      </c>
      <c r="P111" s="24">
        <v>291</v>
      </c>
      <c r="Q111" s="4">
        <v>0</v>
      </c>
      <c r="R111" s="4">
        <v>2999789</v>
      </c>
      <c r="S111" s="4">
        <v>0</v>
      </c>
      <c r="T111" s="4">
        <v>-26489</v>
      </c>
      <c r="U111" s="24">
        <v>-26489</v>
      </c>
      <c r="V111" s="4">
        <v>93725</v>
      </c>
      <c r="W111" s="14">
        <v>45084</v>
      </c>
      <c r="X111" s="2"/>
      <c r="Y111" s="5" t="s">
        <v>3692</v>
      </c>
      <c r="Z111" s="5" t="s">
        <v>1987</v>
      </c>
      <c r="AA111" s="5" t="s">
        <v>2</v>
      </c>
      <c r="AB111" s="21" t="s">
        <v>2</v>
      </c>
      <c r="AC111" s="54" t="s">
        <v>4179</v>
      </c>
    </row>
    <row r="112" spans="2:29" x14ac:dyDescent="0.3">
      <c r="B112" s="18" t="s">
        <v>3326</v>
      </c>
      <c r="C112" s="47" t="s">
        <v>3868</v>
      </c>
      <c r="D112" s="15" t="s">
        <v>1987</v>
      </c>
      <c r="E112" s="55" t="s">
        <v>2</v>
      </c>
      <c r="F112" s="14">
        <v>44866</v>
      </c>
      <c r="G112" s="5" t="s">
        <v>2979</v>
      </c>
      <c r="H112" s="2"/>
      <c r="I112" s="4">
        <v>4940000</v>
      </c>
      <c r="J112" s="4">
        <v>5000000</v>
      </c>
      <c r="K112" s="4">
        <v>4999100</v>
      </c>
      <c r="L112" s="4">
        <v>4999661</v>
      </c>
      <c r="M112" s="4">
        <v>0</v>
      </c>
      <c r="N112" s="4">
        <v>157</v>
      </c>
      <c r="O112" s="4">
        <v>0</v>
      </c>
      <c r="P112" s="24">
        <v>157</v>
      </c>
      <c r="Q112" s="4">
        <v>0</v>
      </c>
      <c r="R112" s="4">
        <v>4999818</v>
      </c>
      <c r="S112" s="4">
        <v>0</v>
      </c>
      <c r="T112" s="4">
        <v>-59818</v>
      </c>
      <c r="U112" s="24">
        <v>-59818</v>
      </c>
      <c r="V112" s="4">
        <v>193146</v>
      </c>
      <c r="W112" s="14">
        <v>45211</v>
      </c>
      <c r="X112" s="2"/>
      <c r="Y112" s="5" t="s">
        <v>3692</v>
      </c>
      <c r="Z112" s="5" t="s">
        <v>1987</v>
      </c>
      <c r="AA112" s="5" t="s">
        <v>2</v>
      </c>
      <c r="AB112" s="21" t="s">
        <v>2</v>
      </c>
      <c r="AC112" s="54" t="s">
        <v>4179</v>
      </c>
    </row>
    <row r="113" spans="2:29" x14ac:dyDescent="0.3">
      <c r="B113" s="18" t="s">
        <v>4469</v>
      </c>
      <c r="C113" s="47" t="s">
        <v>4498</v>
      </c>
      <c r="D113" s="15" t="s">
        <v>478</v>
      </c>
      <c r="E113" s="55" t="s">
        <v>2</v>
      </c>
      <c r="F113" s="14">
        <v>44651</v>
      </c>
      <c r="G113" s="5" t="s">
        <v>200</v>
      </c>
      <c r="H113" s="2"/>
      <c r="I113" s="4">
        <v>5036900</v>
      </c>
      <c r="J113" s="4">
        <v>5000000</v>
      </c>
      <c r="K113" s="4">
        <v>5199000</v>
      </c>
      <c r="L113" s="4">
        <v>5034483</v>
      </c>
      <c r="M113" s="4">
        <v>0</v>
      </c>
      <c r="N113" s="4">
        <v>-8444</v>
      </c>
      <c r="O113" s="4">
        <v>0</v>
      </c>
      <c r="P113" s="24">
        <v>-8444</v>
      </c>
      <c r="Q113" s="4">
        <v>0</v>
      </c>
      <c r="R113" s="4">
        <v>5026039</v>
      </c>
      <c r="S113" s="4">
        <v>0</v>
      </c>
      <c r="T113" s="4">
        <v>10861</v>
      </c>
      <c r="U113" s="24">
        <v>10861</v>
      </c>
      <c r="V113" s="4">
        <v>76285</v>
      </c>
      <c r="W113" s="14">
        <v>45031</v>
      </c>
      <c r="X113" s="2"/>
      <c r="Y113" s="5" t="s">
        <v>3124</v>
      </c>
      <c r="Z113" s="5" t="s">
        <v>871</v>
      </c>
      <c r="AA113" s="5" t="s">
        <v>871</v>
      </c>
      <c r="AB113" s="21" t="s">
        <v>2</v>
      </c>
      <c r="AC113" s="54" t="s">
        <v>4179</v>
      </c>
    </row>
    <row r="114" spans="2:29" x14ac:dyDescent="0.3">
      <c r="B114" s="18" t="s">
        <v>1071</v>
      </c>
      <c r="C114" s="47" t="s">
        <v>2437</v>
      </c>
      <c r="D114" s="15" t="s">
        <v>660</v>
      </c>
      <c r="E114" s="55" t="s">
        <v>2</v>
      </c>
      <c r="F114" s="14">
        <v>44859</v>
      </c>
      <c r="G114" s="5" t="s">
        <v>2704</v>
      </c>
      <c r="H114" s="2"/>
      <c r="I114" s="4">
        <v>40000</v>
      </c>
      <c r="J114" s="4">
        <v>40000</v>
      </c>
      <c r="K114" s="4">
        <v>40000</v>
      </c>
      <c r="L114" s="4">
        <v>40000</v>
      </c>
      <c r="M114" s="4">
        <v>0</v>
      </c>
      <c r="N114" s="4">
        <v>0</v>
      </c>
      <c r="O114" s="4">
        <v>0</v>
      </c>
      <c r="P114" s="24">
        <v>0</v>
      </c>
      <c r="Q114" s="4">
        <v>0</v>
      </c>
      <c r="R114" s="4">
        <v>40000</v>
      </c>
      <c r="S114" s="4">
        <v>0</v>
      </c>
      <c r="T114" s="4">
        <v>0</v>
      </c>
      <c r="U114" s="24">
        <v>0</v>
      </c>
      <c r="V114" s="4">
        <v>1029</v>
      </c>
      <c r="W114" s="14">
        <v>54264</v>
      </c>
      <c r="X114" s="2"/>
      <c r="Y114" s="5" t="s">
        <v>2</v>
      </c>
      <c r="Z114" s="5" t="s">
        <v>2918</v>
      </c>
      <c r="AA114" s="5" t="s">
        <v>824</v>
      </c>
      <c r="AB114" s="21" t="s">
        <v>2</v>
      </c>
      <c r="AC114" s="54" t="s">
        <v>4179</v>
      </c>
    </row>
    <row r="115" spans="2:29" x14ac:dyDescent="0.3">
      <c r="B115" s="18" t="s">
        <v>2477</v>
      </c>
      <c r="C115" s="47" t="s">
        <v>1013</v>
      </c>
      <c r="D115" s="15" t="s">
        <v>660</v>
      </c>
      <c r="E115" s="55" t="s">
        <v>2</v>
      </c>
      <c r="F115" s="14">
        <v>44859</v>
      </c>
      <c r="G115" s="5" t="s">
        <v>2704</v>
      </c>
      <c r="H115" s="2"/>
      <c r="I115" s="4">
        <v>100000</v>
      </c>
      <c r="J115" s="4">
        <v>100000</v>
      </c>
      <c r="K115" s="4">
        <v>100000</v>
      </c>
      <c r="L115" s="4">
        <v>100000</v>
      </c>
      <c r="M115" s="4">
        <v>0</v>
      </c>
      <c r="N115" s="4">
        <v>0</v>
      </c>
      <c r="O115" s="4">
        <v>0</v>
      </c>
      <c r="P115" s="24">
        <v>0</v>
      </c>
      <c r="Q115" s="4">
        <v>0</v>
      </c>
      <c r="R115" s="4">
        <v>100000</v>
      </c>
      <c r="S115" s="4">
        <v>0</v>
      </c>
      <c r="T115" s="4">
        <v>0</v>
      </c>
      <c r="U115" s="24">
        <v>0</v>
      </c>
      <c r="V115" s="4">
        <v>1664</v>
      </c>
      <c r="W115" s="14">
        <v>55268</v>
      </c>
      <c r="X115" s="2"/>
      <c r="Y115" s="5" t="s">
        <v>2</v>
      </c>
      <c r="Z115" s="5" t="s">
        <v>2918</v>
      </c>
      <c r="AA115" s="5" t="s">
        <v>824</v>
      </c>
      <c r="AB115" s="21" t="s">
        <v>2</v>
      </c>
      <c r="AC115" s="54" t="s">
        <v>4179</v>
      </c>
    </row>
    <row r="116" spans="2:29" x14ac:dyDescent="0.3">
      <c r="B116" s="18" t="s">
        <v>3604</v>
      </c>
      <c r="C116" s="47" t="s">
        <v>225</v>
      </c>
      <c r="D116" s="15" t="s">
        <v>3950</v>
      </c>
      <c r="E116" s="55" t="s">
        <v>2</v>
      </c>
      <c r="F116" s="14">
        <v>44740</v>
      </c>
      <c r="G116" s="5" t="s">
        <v>3013</v>
      </c>
      <c r="H116" s="2"/>
      <c r="I116" s="4">
        <v>5037200</v>
      </c>
      <c r="J116" s="4">
        <v>5000000</v>
      </c>
      <c r="K116" s="4">
        <v>5002209</v>
      </c>
      <c r="L116" s="4">
        <v>5001511</v>
      </c>
      <c r="M116" s="4">
        <v>0</v>
      </c>
      <c r="N116" s="4">
        <v>-181</v>
      </c>
      <c r="O116" s="4">
        <v>0</v>
      </c>
      <c r="P116" s="24">
        <v>-181</v>
      </c>
      <c r="Q116" s="4">
        <v>0</v>
      </c>
      <c r="R116" s="4">
        <v>5001329</v>
      </c>
      <c r="S116" s="4">
        <v>0</v>
      </c>
      <c r="T116" s="4">
        <v>-1329</v>
      </c>
      <c r="U116" s="24">
        <v>-1329</v>
      </c>
      <c r="V116" s="4">
        <v>149474</v>
      </c>
      <c r="W116" s="14">
        <v>46157</v>
      </c>
      <c r="X116" s="2"/>
      <c r="Y116" s="5" t="s">
        <v>73</v>
      </c>
      <c r="Z116" s="5" t="s">
        <v>3950</v>
      </c>
      <c r="AA116" s="5" t="s">
        <v>2</v>
      </c>
      <c r="AB116" s="21" t="s">
        <v>2</v>
      </c>
      <c r="AC116" s="54" t="s">
        <v>4179</v>
      </c>
    </row>
    <row r="117" spans="2:29" x14ac:dyDescent="0.3">
      <c r="B117" s="18" t="s">
        <v>205</v>
      </c>
      <c r="C117" s="47" t="s">
        <v>1524</v>
      </c>
      <c r="D117" s="15" t="s">
        <v>1525</v>
      </c>
      <c r="E117" s="55" t="s">
        <v>2</v>
      </c>
      <c r="F117" s="14">
        <v>44854</v>
      </c>
      <c r="G117" s="5" t="s">
        <v>2704</v>
      </c>
      <c r="H117" s="2"/>
      <c r="I117" s="4">
        <v>28500</v>
      </c>
      <c r="J117" s="4">
        <v>28500</v>
      </c>
      <c r="K117" s="4">
        <v>28678</v>
      </c>
      <c r="L117" s="4">
        <v>28638</v>
      </c>
      <c r="M117" s="4">
        <v>0</v>
      </c>
      <c r="N117" s="4">
        <v>-138</v>
      </c>
      <c r="O117" s="4">
        <v>0</v>
      </c>
      <c r="P117" s="24">
        <v>-138</v>
      </c>
      <c r="Q117" s="4">
        <v>0</v>
      </c>
      <c r="R117" s="4">
        <v>28500</v>
      </c>
      <c r="S117" s="4">
        <v>0</v>
      </c>
      <c r="T117" s="4">
        <v>0</v>
      </c>
      <c r="U117" s="24">
        <v>0</v>
      </c>
      <c r="V117" s="4">
        <v>674</v>
      </c>
      <c r="W117" s="14">
        <v>54989</v>
      </c>
      <c r="X117" s="2"/>
      <c r="Y117" s="5" t="s">
        <v>2</v>
      </c>
      <c r="Z117" s="5" t="s">
        <v>2650</v>
      </c>
      <c r="AA117" s="5" t="s">
        <v>824</v>
      </c>
      <c r="AB117" s="21" t="s">
        <v>2</v>
      </c>
      <c r="AC117" s="54" t="s">
        <v>4179</v>
      </c>
    </row>
    <row r="118" spans="2:29" x14ac:dyDescent="0.3">
      <c r="B118" s="18" t="s">
        <v>2195</v>
      </c>
      <c r="C118" s="47" t="s">
        <v>1313</v>
      </c>
      <c r="D118" s="15" t="s">
        <v>1525</v>
      </c>
      <c r="E118" s="55" t="s">
        <v>2</v>
      </c>
      <c r="F118" s="14">
        <v>44854</v>
      </c>
      <c r="G118" s="5" t="s">
        <v>2704</v>
      </c>
      <c r="H118" s="2"/>
      <c r="I118" s="4">
        <v>25000</v>
      </c>
      <c r="J118" s="4">
        <v>25000</v>
      </c>
      <c r="K118" s="4">
        <v>25000</v>
      </c>
      <c r="L118" s="4">
        <v>25000</v>
      </c>
      <c r="M118" s="4">
        <v>0</v>
      </c>
      <c r="N118" s="4">
        <v>0</v>
      </c>
      <c r="O118" s="4">
        <v>0</v>
      </c>
      <c r="P118" s="24">
        <v>0</v>
      </c>
      <c r="Q118" s="4">
        <v>0</v>
      </c>
      <c r="R118" s="4">
        <v>25000</v>
      </c>
      <c r="S118" s="4">
        <v>0</v>
      </c>
      <c r="T118" s="4">
        <v>0</v>
      </c>
      <c r="U118" s="24">
        <v>0</v>
      </c>
      <c r="V118" s="4">
        <v>506</v>
      </c>
      <c r="W118" s="14">
        <v>55173</v>
      </c>
      <c r="X118" s="2"/>
      <c r="Y118" s="5" t="s">
        <v>2</v>
      </c>
      <c r="Z118" s="5" t="s">
        <v>2650</v>
      </c>
      <c r="AA118" s="5" t="s">
        <v>824</v>
      </c>
      <c r="AB118" s="21" t="s">
        <v>2</v>
      </c>
      <c r="AC118" s="54" t="s">
        <v>4179</v>
      </c>
    </row>
    <row r="119" spans="2:29" x14ac:dyDescent="0.3">
      <c r="B119" s="18" t="s">
        <v>3327</v>
      </c>
      <c r="C119" s="47" t="s">
        <v>3869</v>
      </c>
      <c r="D119" s="15" t="s">
        <v>479</v>
      </c>
      <c r="E119" s="55" t="s">
        <v>2</v>
      </c>
      <c r="F119" s="14">
        <v>44651</v>
      </c>
      <c r="G119" s="5" t="s">
        <v>2704</v>
      </c>
      <c r="H119" s="2"/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24">
        <v>0</v>
      </c>
      <c r="Q119" s="4">
        <v>0</v>
      </c>
      <c r="R119" s="4">
        <v>0</v>
      </c>
      <c r="S119" s="4">
        <v>0</v>
      </c>
      <c r="T119" s="4">
        <v>0</v>
      </c>
      <c r="U119" s="24">
        <v>0</v>
      </c>
      <c r="V119" s="4">
        <v>41169</v>
      </c>
      <c r="W119" s="14">
        <v>48136</v>
      </c>
      <c r="X119" s="2"/>
      <c r="Y119" s="5" t="s">
        <v>2</v>
      </c>
      <c r="Z119" s="5" t="s">
        <v>1378</v>
      </c>
      <c r="AA119" s="5" t="s">
        <v>824</v>
      </c>
      <c r="AB119" s="21" t="s">
        <v>2</v>
      </c>
      <c r="AC119" s="54" t="s">
        <v>4179</v>
      </c>
    </row>
    <row r="120" spans="2:29" x14ac:dyDescent="0.3">
      <c r="B120" s="18" t="s">
        <v>4470</v>
      </c>
      <c r="C120" s="47" t="s">
        <v>4499</v>
      </c>
      <c r="D120" s="15" t="s">
        <v>1109</v>
      </c>
      <c r="E120" s="55" t="s">
        <v>2</v>
      </c>
      <c r="F120" s="14">
        <v>44776</v>
      </c>
      <c r="G120" s="5" t="s">
        <v>2185</v>
      </c>
      <c r="H120" s="2"/>
      <c r="I120" s="4">
        <v>5004850</v>
      </c>
      <c r="J120" s="4">
        <v>5000000</v>
      </c>
      <c r="K120" s="4">
        <v>4997700</v>
      </c>
      <c r="L120" s="4">
        <v>4999121</v>
      </c>
      <c r="M120" s="4">
        <v>0</v>
      </c>
      <c r="N120" s="4">
        <v>221</v>
      </c>
      <c r="O120" s="4">
        <v>0</v>
      </c>
      <c r="P120" s="24">
        <v>221</v>
      </c>
      <c r="Q120" s="4">
        <v>0</v>
      </c>
      <c r="R120" s="4">
        <v>4999342</v>
      </c>
      <c r="S120" s="4">
        <v>0</v>
      </c>
      <c r="T120" s="4">
        <v>5508</v>
      </c>
      <c r="U120" s="24">
        <v>5508</v>
      </c>
      <c r="V120" s="4">
        <v>151042</v>
      </c>
      <c r="W120" s="14">
        <v>45397</v>
      </c>
      <c r="X120" s="2"/>
      <c r="Y120" s="5" t="s">
        <v>2</v>
      </c>
      <c r="Z120" s="5" t="s">
        <v>3461</v>
      </c>
      <c r="AA120" s="5" t="s">
        <v>2</v>
      </c>
      <c r="AB120" s="21" t="s">
        <v>2</v>
      </c>
      <c r="AC120" s="54" t="s">
        <v>4179</v>
      </c>
    </row>
    <row r="121" spans="2:29" x14ac:dyDescent="0.3">
      <c r="B121" s="18" t="s">
        <v>1072</v>
      </c>
      <c r="C121" s="47" t="s">
        <v>3870</v>
      </c>
      <c r="D121" s="15" t="s">
        <v>3620</v>
      </c>
      <c r="E121" s="55" t="s">
        <v>2</v>
      </c>
      <c r="F121" s="14">
        <v>44650</v>
      </c>
      <c r="G121" s="5" t="s">
        <v>1867</v>
      </c>
      <c r="H121" s="2"/>
      <c r="I121" s="4">
        <v>3759863</v>
      </c>
      <c r="J121" s="4">
        <v>3750000</v>
      </c>
      <c r="K121" s="4">
        <v>3730613</v>
      </c>
      <c r="L121" s="4">
        <v>3743894</v>
      </c>
      <c r="M121" s="4">
        <v>0</v>
      </c>
      <c r="N121" s="4">
        <v>1248</v>
      </c>
      <c r="O121" s="4">
        <v>0</v>
      </c>
      <c r="P121" s="24">
        <v>1248</v>
      </c>
      <c r="Q121" s="4">
        <v>0</v>
      </c>
      <c r="R121" s="4">
        <v>3745142</v>
      </c>
      <c r="S121" s="4">
        <v>0</v>
      </c>
      <c r="T121" s="4">
        <v>14721</v>
      </c>
      <c r="U121" s="24">
        <v>14721</v>
      </c>
      <c r="V121" s="4">
        <v>53594</v>
      </c>
      <c r="W121" s="14">
        <v>45000</v>
      </c>
      <c r="X121" s="2"/>
      <c r="Y121" s="5" t="s">
        <v>3694</v>
      </c>
      <c r="Z121" s="5" t="s">
        <v>1694</v>
      </c>
      <c r="AA121" s="5" t="s">
        <v>1694</v>
      </c>
      <c r="AB121" s="21" t="s">
        <v>2</v>
      </c>
      <c r="AC121" s="54" t="s">
        <v>4179</v>
      </c>
    </row>
    <row r="122" spans="2:29" x14ac:dyDescent="0.3">
      <c r="B122" s="18" t="s">
        <v>2196</v>
      </c>
      <c r="C122" s="47" t="s">
        <v>1878</v>
      </c>
      <c r="D122" s="15" t="s">
        <v>4500</v>
      </c>
      <c r="E122" s="55" t="s">
        <v>2</v>
      </c>
      <c r="F122" s="14">
        <v>44671</v>
      </c>
      <c r="G122" s="5" t="s">
        <v>1060</v>
      </c>
      <c r="H122" s="2"/>
      <c r="I122" s="4">
        <v>5019520</v>
      </c>
      <c r="J122" s="4">
        <v>5000000</v>
      </c>
      <c r="K122" s="4">
        <v>4987880</v>
      </c>
      <c r="L122" s="4">
        <v>4997819</v>
      </c>
      <c r="M122" s="4">
        <v>0</v>
      </c>
      <c r="N122" s="4">
        <v>1035</v>
      </c>
      <c r="O122" s="4">
        <v>0</v>
      </c>
      <c r="P122" s="24">
        <v>1035</v>
      </c>
      <c r="Q122" s="4">
        <v>0</v>
      </c>
      <c r="R122" s="4">
        <v>4998854</v>
      </c>
      <c r="S122" s="4">
        <v>0</v>
      </c>
      <c r="T122" s="4">
        <v>20666</v>
      </c>
      <c r="U122" s="24">
        <v>20666</v>
      </c>
      <c r="V122" s="4">
        <v>97514</v>
      </c>
      <c r="W122" s="14">
        <v>44797</v>
      </c>
      <c r="X122" s="2"/>
      <c r="Y122" s="5" t="s">
        <v>1110</v>
      </c>
      <c r="Z122" s="5" t="s">
        <v>4500</v>
      </c>
      <c r="AA122" s="5" t="s">
        <v>2</v>
      </c>
      <c r="AB122" s="21" t="s">
        <v>2</v>
      </c>
      <c r="AC122" s="54" t="s">
        <v>4179</v>
      </c>
    </row>
    <row r="123" spans="2:29" x14ac:dyDescent="0.3">
      <c r="B123" s="18" t="s">
        <v>3328</v>
      </c>
      <c r="C123" s="47" t="s">
        <v>1111</v>
      </c>
      <c r="D123" s="15" t="s">
        <v>2709</v>
      </c>
      <c r="E123" s="55" t="s">
        <v>2</v>
      </c>
      <c r="F123" s="14">
        <v>44788</v>
      </c>
      <c r="G123" s="5" t="s">
        <v>2482</v>
      </c>
      <c r="H123" s="2"/>
      <c r="I123" s="4">
        <v>4958000</v>
      </c>
      <c r="J123" s="4">
        <v>5000000</v>
      </c>
      <c r="K123" s="4">
        <v>4876450</v>
      </c>
      <c r="L123" s="4">
        <v>4933847</v>
      </c>
      <c r="M123" s="4">
        <v>0</v>
      </c>
      <c r="N123" s="4">
        <v>12257</v>
      </c>
      <c r="O123" s="4">
        <v>0</v>
      </c>
      <c r="P123" s="24">
        <v>12257</v>
      </c>
      <c r="Q123" s="4">
        <v>0</v>
      </c>
      <c r="R123" s="4">
        <v>4946104</v>
      </c>
      <c r="S123" s="4">
        <v>0</v>
      </c>
      <c r="T123" s="4">
        <v>11896</v>
      </c>
      <c r="U123" s="24">
        <v>11896</v>
      </c>
      <c r="V123" s="4">
        <v>175222</v>
      </c>
      <c r="W123" s="14">
        <v>45731</v>
      </c>
      <c r="X123" s="2"/>
      <c r="Y123" s="5" t="s">
        <v>3014</v>
      </c>
      <c r="Z123" s="5" t="s">
        <v>2710</v>
      </c>
      <c r="AA123" s="5" t="s">
        <v>2498</v>
      </c>
      <c r="AB123" s="21" t="s">
        <v>2</v>
      </c>
      <c r="AC123" s="54" t="s">
        <v>4179</v>
      </c>
    </row>
    <row r="124" spans="2:29" x14ac:dyDescent="0.3">
      <c r="B124" s="18" t="s">
        <v>206</v>
      </c>
      <c r="C124" s="47" t="s">
        <v>480</v>
      </c>
      <c r="D124" s="15" t="s">
        <v>3015</v>
      </c>
      <c r="E124" s="55" t="s">
        <v>2</v>
      </c>
      <c r="F124" s="14">
        <v>44789</v>
      </c>
      <c r="G124" s="5" t="s">
        <v>4461</v>
      </c>
      <c r="H124" s="2"/>
      <c r="I124" s="4">
        <v>4121576</v>
      </c>
      <c r="J124" s="4">
        <v>4125000</v>
      </c>
      <c r="K124" s="4">
        <v>4096084</v>
      </c>
      <c r="L124" s="4">
        <v>4120638</v>
      </c>
      <c r="M124" s="4">
        <v>0</v>
      </c>
      <c r="N124" s="4">
        <v>3283</v>
      </c>
      <c r="O124" s="4">
        <v>0</v>
      </c>
      <c r="P124" s="24">
        <v>3283</v>
      </c>
      <c r="Q124" s="4">
        <v>0</v>
      </c>
      <c r="R124" s="4">
        <v>4123922</v>
      </c>
      <c r="S124" s="4">
        <v>0</v>
      </c>
      <c r="T124" s="4">
        <v>-2345</v>
      </c>
      <c r="U124" s="24">
        <v>-2345</v>
      </c>
      <c r="V124" s="4">
        <v>90120</v>
      </c>
      <c r="W124" s="14">
        <v>44867</v>
      </c>
      <c r="X124" s="2"/>
      <c r="Y124" s="5" t="s">
        <v>2579</v>
      </c>
      <c r="Z124" s="5" t="s">
        <v>1220</v>
      </c>
      <c r="AA124" s="5" t="s">
        <v>2</v>
      </c>
      <c r="AB124" s="21" t="s">
        <v>2</v>
      </c>
      <c r="AC124" s="54" t="s">
        <v>4179</v>
      </c>
    </row>
    <row r="125" spans="2:29" x14ac:dyDescent="0.3">
      <c r="B125" s="18" t="s">
        <v>1353</v>
      </c>
      <c r="C125" s="47" t="s">
        <v>3363</v>
      </c>
      <c r="D125" s="15" t="s">
        <v>3364</v>
      </c>
      <c r="E125" s="55" t="s">
        <v>2</v>
      </c>
      <c r="F125" s="14">
        <v>44867</v>
      </c>
      <c r="G125" s="5" t="s">
        <v>4454</v>
      </c>
      <c r="H125" s="2"/>
      <c r="I125" s="4">
        <v>4926900</v>
      </c>
      <c r="J125" s="4">
        <v>5000000</v>
      </c>
      <c r="K125" s="4">
        <v>4997700</v>
      </c>
      <c r="L125" s="4">
        <v>4999160</v>
      </c>
      <c r="M125" s="4">
        <v>0</v>
      </c>
      <c r="N125" s="4">
        <v>397</v>
      </c>
      <c r="O125" s="4">
        <v>0</v>
      </c>
      <c r="P125" s="24">
        <v>397</v>
      </c>
      <c r="Q125" s="4">
        <v>0</v>
      </c>
      <c r="R125" s="4">
        <v>4999557</v>
      </c>
      <c r="S125" s="4">
        <v>0</v>
      </c>
      <c r="T125" s="4">
        <v>-72657</v>
      </c>
      <c r="U125" s="24">
        <v>-72657</v>
      </c>
      <c r="V125" s="4">
        <v>207417</v>
      </c>
      <c r="W125" s="14">
        <v>45200</v>
      </c>
      <c r="X125" s="2"/>
      <c r="Y125" s="5" t="s">
        <v>3136</v>
      </c>
      <c r="Z125" s="5" t="s">
        <v>328</v>
      </c>
      <c r="AA125" s="5" t="s">
        <v>2</v>
      </c>
      <c r="AB125" s="21" t="s">
        <v>2</v>
      </c>
      <c r="AC125" s="54" t="s">
        <v>4179</v>
      </c>
    </row>
    <row r="126" spans="2:29" x14ac:dyDescent="0.3">
      <c r="B126" s="18" t="s">
        <v>2479</v>
      </c>
      <c r="C126" s="47" t="s">
        <v>4501</v>
      </c>
      <c r="D126" s="15" t="s">
        <v>1228</v>
      </c>
      <c r="E126" s="55" t="s">
        <v>2</v>
      </c>
      <c r="F126" s="14">
        <v>44757</v>
      </c>
      <c r="G126" s="5" t="s">
        <v>730</v>
      </c>
      <c r="H126" s="2"/>
      <c r="I126" s="4">
        <v>1000000</v>
      </c>
      <c r="J126" s="4">
        <v>1000000</v>
      </c>
      <c r="K126" s="4">
        <v>997730</v>
      </c>
      <c r="L126" s="4">
        <v>999646</v>
      </c>
      <c r="M126" s="4">
        <v>0</v>
      </c>
      <c r="N126" s="4">
        <v>354</v>
      </c>
      <c r="O126" s="4">
        <v>0</v>
      </c>
      <c r="P126" s="24">
        <v>354</v>
      </c>
      <c r="Q126" s="4">
        <v>0</v>
      </c>
      <c r="R126" s="4">
        <v>1000000</v>
      </c>
      <c r="S126" s="4">
        <v>0</v>
      </c>
      <c r="T126" s="4">
        <v>0</v>
      </c>
      <c r="U126" s="24">
        <v>0</v>
      </c>
      <c r="V126" s="4">
        <v>38750</v>
      </c>
      <c r="W126" s="14">
        <v>44757</v>
      </c>
      <c r="X126" s="2"/>
      <c r="Y126" s="5" t="s">
        <v>3138</v>
      </c>
      <c r="Z126" s="5" t="s">
        <v>2816</v>
      </c>
      <c r="AA126" s="5" t="s">
        <v>824</v>
      </c>
      <c r="AB126" s="21" t="s">
        <v>2</v>
      </c>
      <c r="AC126" s="54" t="s">
        <v>4179</v>
      </c>
    </row>
    <row r="127" spans="2:29" x14ac:dyDescent="0.3">
      <c r="B127" s="18" t="s">
        <v>3606</v>
      </c>
      <c r="C127" s="47" t="s">
        <v>558</v>
      </c>
      <c r="D127" s="15" t="s">
        <v>3703</v>
      </c>
      <c r="E127" s="55" t="s">
        <v>2</v>
      </c>
      <c r="F127" s="14">
        <v>44788</v>
      </c>
      <c r="G127" s="5" t="s">
        <v>2224</v>
      </c>
      <c r="H127" s="2"/>
      <c r="I127" s="4">
        <v>333077</v>
      </c>
      <c r="J127" s="4">
        <v>333077</v>
      </c>
      <c r="K127" s="4">
        <v>333077</v>
      </c>
      <c r="L127" s="4">
        <v>333077</v>
      </c>
      <c r="M127" s="4">
        <v>0</v>
      </c>
      <c r="N127" s="4">
        <v>0</v>
      </c>
      <c r="O127" s="4">
        <v>0</v>
      </c>
      <c r="P127" s="24">
        <v>0</v>
      </c>
      <c r="Q127" s="4">
        <v>0</v>
      </c>
      <c r="R127" s="4">
        <v>333077</v>
      </c>
      <c r="S127" s="4">
        <v>0</v>
      </c>
      <c r="T127" s="4">
        <v>0</v>
      </c>
      <c r="U127" s="24">
        <v>0</v>
      </c>
      <c r="V127" s="4">
        <v>8120</v>
      </c>
      <c r="W127" s="14">
        <v>50632</v>
      </c>
      <c r="X127" s="2"/>
      <c r="Y127" s="5" t="s">
        <v>2</v>
      </c>
      <c r="Z127" s="5" t="s">
        <v>3703</v>
      </c>
      <c r="AA127" s="5" t="s">
        <v>2</v>
      </c>
      <c r="AB127" s="21" t="s">
        <v>2</v>
      </c>
      <c r="AC127" s="54" t="s">
        <v>4179</v>
      </c>
    </row>
    <row r="128" spans="2:29" x14ac:dyDescent="0.3">
      <c r="B128" s="18" t="s">
        <v>1073</v>
      </c>
      <c r="C128" s="47" t="s">
        <v>3365</v>
      </c>
      <c r="D128" s="15" t="s">
        <v>2654</v>
      </c>
      <c r="E128" s="55" t="s">
        <v>2</v>
      </c>
      <c r="F128" s="14">
        <v>44728</v>
      </c>
      <c r="G128" s="5" t="s">
        <v>2704</v>
      </c>
      <c r="H128" s="2"/>
      <c r="I128" s="4">
        <v>6050000</v>
      </c>
      <c r="J128" s="4">
        <v>6050000</v>
      </c>
      <c r="K128" s="4">
        <v>6049142</v>
      </c>
      <c r="L128" s="4">
        <v>6049550</v>
      </c>
      <c r="M128" s="4">
        <v>0</v>
      </c>
      <c r="N128" s="4">
        <v>450</v>
      </c>
      <c r="O128" s="4">
        <v>0</v>
      </c>
      <c r="P128" s="24">
        <v>450</v>
      </c>
      <c r="Q128" s="4">
        <v>0</v>
      </c>
      <c r="R128" s="4">
        <v>6050000</v>
      </c>
      <c r="S128" s="4">
        <v>0</v>
      </c>
      <c r="T128" s="4">
        <v>0</v>
      </c>
      <c r="U128" s="24">
        <v>0</v>
      </c>
      <c r="V128" s="4">
        <v>104363</v>
      </c>
      <c r="W128" s="14">
        <v>45338</v>
      </c>
      <c r="X128" s="2"/>
      <c r="Y128" s="5" t="s">
        <v>2</v>
      </c>
      <c r="Z128" s="5" t="s">
        <v>409</v>
      </c>
      <c r="AA128" s="5" t="s">
        <v>409</v>
      </c>
      <c r="AB128" s="21" t="s">
        <v>2</v>
      </c>
      <c r="AC128" s="54" t="s">
        <v>4179</v>
      </c>
    </row>
    <row r="129" spans="2:29" x14ac:dyDescent="0.3">
      <c r="B129" s="18" t="s">
        <v>2197</v>
      </c>
      <c r="C129" s="47" t="s">
        <v>1879</v>
      </c>
      <c r="D129" s="15" t="s">
        <v>2654</v>
      </c>
      <c r="E129" s="55" t="s">
        <v>2</v>
      </c>
      <c r="F129" s="14">
        <v>44850</v>
      </c>
      <c r="G129" s="5" t="s">
        <v>2704</v>
      </c>
      <c r="H129" s="2"/>
      <c r="I129" s="4">
        <v>10000000</v>
      </c>
      <c r="J129" s="4">
        <v>10000000</v>
      </c>
      <c r="K129" s="4">
        <v>9996794</v>
      </c>
      <c r="L129" s="4">
        <v>9998854</v>
      </c>
      <c r="M129" s="4">
        <v>0</v>
      </c>
      <c r="N129" s="4">
        <v>1146</v>
      </c>
      <c r="O129" s="4">
        <v>0</v>
      </c>
      <c r="P129" s="24">
        <v>1146</v>
      </c>
      <c r="Q129" s="4">
        <v>0</v>
      </c>
      <c r="R129" s="4">
        <v>10000000</v>
      </c>
      <c r="S129" s="4">
        <v>0</v>
      </c>
      <c r="T129" s="4">
        <v>0</v>
      </c>
      <c r="U129" s="24">
        <v>0</v>
      </c>
      <c r="V129" s="4">
        <v>293333</v>
      </c>
      <c r="W129" s="14">
        <v>45551</v>
      </c>
      <c r="X129" s="2"/>
      <c r="Y129" s="5" t="s">
        <v>2</v>
      </c>
      <c r="Z129" s="5" t="s">
        <v>409</v>
      </c>
      <c r="AA129" s="5" t="s">
        <v>409</v>
      </c>
      <c r="AB129" s="21" t="s">
        <v>2</v>
      </c>
      <c r="AC129" s="54" t="s">
        <v>4179</v>
      </c>
    </row>
    <row r="130" spans="2:29" x14ac:dyDescent="0.3">
      <c r="B130" s="18" t="s">
        <v>3329</v>
      </c>
      <c r="C130" s="47" t="s">
        <v>1529</v>
      </c>
      <c r="D130" s="15" t="s">
        <v>4063</v>
      </c>
      <c r="E130" s="55" t="s">
        <v>2</v>
      </c>
      <c r="F130" s="14">
        <v>44670</v>
      </c>
      <c r="G130" s="5" t="s">
        <v>1060</v>
      </c>
      <c r="H130" s="2"/>
      <c r="I130" s="4">
        <v>2184169</v>
      </c>
      <c r="J130" s="4">
        <v>2208000</v>
      </c>
      <c r="K130" s="4">
        <v>2207917</v>
      </c>
      <c r="L130" s="4">
        <v>2207913</v>
      </c>
      <c r="M130" s="4">
        <v>0</v>
      </c>
      <c r="N130" s="4">
        <v>0</v>
      </c>
      <c r="O130" s="4">
        <v>0</v>
      </c>
      <c r="P130" s="24">
        <v>0</v>
      </c>
      <c r="Q130" s="4">
        <v>0</v>
      </c>
      <c r="R130" s="4">
        <v>2207913</v>
      </c>
      <c r="S130" s="4">
        <v>0</v>
      </c>
      <c r="T130" s="4">
        <v>-23745</v>
      </c>
      <c r="U130" s="24">
        <v>-23745</v>
      </c>
      <c r="V130" s="4">
        <v>16209</v>
      </c>
      <c r="W130" s="14">
        <v>45793</v>
      </c>
      <c r="X130" s="2"/>
      <c r="Y130" s="5" t="s">
        <v>2</v>
      </c>
      <c r="Z130" s="5" t="s">
        <v>667</v>
      </c>
      <c r="AA130" s="5" t="s">
        <v>667</v>
      </c>
      <c r="AB130" s="21" t="s">
        <v>2</v>
      </c>
      <c r="AC130" s="54" t="s">
        <v>4179</v>
      </c>
    </row>
    <row r="131" spans="2:29" x14ac:dyDescent="0.3">
      <c r="B131" s="18" t="s">
        <v>4471</v>
      </c>
      <c r="C131" s="47" t="s">
        <v>741</v>
      </c>
      <c r="D131" s="15" t="s">
        <v>4419</v>
      </c>
      <c r="E131" s="55" t="s">
        <v>2</v>
      </c>
      <c r="F131" s="14">
        <v>44642</v>
      </c>
      <c r="G131" s="5" t="s">
        <v>2981</v>
      </c>
      <c r="H131" s="2"/>
      <c r="I131" s="4">
        <v>5496563</v>
      </c>
      <c r="J131" s="4">
        <v>5500000</v>
      </c>
      <c r="K131" s="4">
        <v>5499567</v>
      </c>
      <c r="L131" s="4">
        <v>5499657</v>
      </c>
      <c r="M131" s="4">
        <v>0</v>
      </c>
      <c r="N131" s="4">
        <v>13</v>
      </c>
      <c r="O131" s="4">
        <v>0</v>
      </c>
      <c r="P131" s="24">
        <v>13</v>
      </c>
      <c r="Q131" s="4">
        <v>0</v>
      </c>
      <c r="R131" s="4">
        <v>5499670</v>
      </c>
      <c r="S131" s="4">
        <v>0</v>
      </c>
      <c r="T131" s="4">
        <v>-3107</v>
      </c>
      <c r="U131" s="24">
        <v>-3107</v>
      </c>
      <c r="V131" s="4">
        <v>29297</v>
      </c>
      <c r="W131" s="14">
        <v>45280</v>
      </c>
      <c r="X131" s="2"/>
      <c r="Y131" s="5" t="s">
        <v>2</v>
      </c>
      <c r="Z131" s="5" t="s">
        <v>2925</v>
      </c>
      <c r="AA131" s="5" t="s">
        <v>2925</v>
      </c>
      <c r="AB131" s="21" t="s">
        <v>2</v>
      </c>
      <c r="AC131" s="54" t="s">
        <v>4179</v>
      </c>
    </row>
    <row r="132" spans="2:29" x14ac:dyDescent="0.3">
      <c r="B132" s="18" t="s">
        <v>1354</v>
      </c>
      <c r="C132" s="47" t="s">
        <v>2711</v>
      </c>
      <c r="D132" s="15" t="s">
        <v>4419</v>
      </c>
      <c r="E132" s="55" t="s">
        <v>2</v>
      </c>
      <c r="F132" s="14">
        <v>44642</v>
      </c>
      <c r="G132" s="5" t="s">
        <v>200</v>
      </c>
      <c r="H132" s="2"/>
      <c r="I132" s="4">
        <v>4228486</v>
      </c>
      <c r="J132" s="4">
        <v>4214000</v>
      </c>
      <c r="K132" s="4">
        <v>4329720</v>
      </c>
      <c r="L132" s="4">
        <v>4264799</v>
      </c>
      <c r="M132" s="4">
        <v>0</v>
      </c>
      <c r="N132" s="4">
        <v>-10604</v>
      </c>
      <c r="O132" s="4">
        <v>0</v>
      </c>
      <c r="P132" s="24">
        <v>-10604</v>
      </c>
      <c r="Q132" s="4">
        <v>0</v>
      </c>
      <c r="R132" s="4">
        <v>4254196</v>
      </c>
      <c r="S132" s="4">
        <v>0</v>
      </c>
      <c r="T132" s="4">
        <v>-25710</v>
      </c>
      <c r="U132" s="24">
        <v>-25710</v>
      </c>
      <c r="V132" s="4">
        <v>35320</v>
      </c>
      <c r="W132" s="14">
        <v>45646</v>
      </c>
      <c r="X132" s="2"/>
      <c r="Y132" s="5" t="s">
        <v>2</v>
      </c>
      <c r="Z132" s="5" t="s">
        <v>2925</v>
      </c>
      <c r="AA132" s="5" t="s">
        <v>2925</v>
      </c>
      <c r="AB132" s="21" t="s">
        <v>2</v>
      </c>
      <c r="AC132" s="54" t="s">
        <v>4179</v>
      </c>
    </row>
    <row r="133" spans="2:29" x14ac:dyDescent="0.3">
      <c r="B133" s="18" t="s">
        <v>2480</v>
      </c>
      <c r="C133" s="47" t="s">
        <v>1880</v>
      </c>
      <c r="D133" s="15" t="s">
        <v>2822</v>
      </c>
      <c r="E133" s="55" t="s">
        <v>2</v>
      </c>
      <c r="F133" s="14">
        <v>44642</v>
      </c>
      <c r="G133" s="5" t="s">
        <v>3313</v>
      </c>
      <c r="H133" s="2"/>
      <c r="I133" s="4">
        <v>1989440</v>
      </c>
      <c r="J133" s="4">
        <v>2000000</v>
      </c>
      <c r="K133" s="4">
        <v>1937060</v>
      </c>
      <c r="L133" s="4">
        <v>1975848</v>
      </c>
      <c r="M133" s="4">
        <v>0</v>
      </c>
      <c r="N133" s="4">
        <v>3371</v>
      </c>
      <c r="O133" s="4">
        <v>0</v>
      </c>
      <c r="P133" s="24">
        <v>3371</v>
      </c>
      <c r="Q133" s="4">
        <v>0</v>
      </c>
      <c r="R133" s="4">
        <v>1979219</v>
      </c>
      <c r="S133" s="4">
        <v>0</v>
      </c>
      <c r="T133" s="4">
        <v>10222</v>
      </c>
      <c r="U133" s="24">
        <v>10222</v>
      </c>
      <c r="V133" s="4">
        <v>22813</v>
      </c>
      <c r="W133" s="14">
        <v>45153</v>
      </c>
      <c r="X133" s="2"/>
      <c r="Y133" s="5" t="s">
        <v>82</v>
      </c>
      <c r="Z133" s="5" t="s">
        <v>1705</v>
      </c>
      <c r="AA133" s="5" t="s">
        <v>2584</v>
      </c>
      <c r="AB133" s="21" t="s">
        <v>2</v>
      </c>
      <c r="AC133" s="54" t="s">
        <v>4179</v>
      </c>
    </row>
    <row r="134" spans="2:29" x14ac:dyDescent="0.3">
      <c r="B134" s="18" t="s">
        <v>3607</v>
      </c>
      <c r="C134" s="47" t="s">
        <v>3473</v>
      </c>
      <c r="D134" s="15" t="s">
        <v>2822</v>
      </c>
      <c r="E134" s="55" t="s">
        <v>2</v>
      </c>
      <c r="F134" s="14">
        <v>44811</v>
      </c>
      <c r="G134" s="5" t="s">
        <v>1373</v>
      </c>
      <c r="H134" s="2"/>
      <c r="I134" s="4">
        <v>6942040</v>
      </c>
      <c r="J134" s="4">
        <v>7000000</v>
      </c>
      <c r="K134" s="4">
        <v>6914180</v>
      </c>
      <c r="L134" s="4">
        <v>6955992</v>
      </c>
      <c r="M134" s="4">
        <v>0</v>
      </c>
      <c r="N134" s="4">
        <v>8558</v>
      </c>
      <c r="O134" s="4">
        <v>0</v>
      </c>
      <c r="P134" s="24">
        <v>8558</v>
      </c>
      <c r="Q134" s="4">
        <v>0</v>
      </c>
      <c r="R134" s="4">
        <v>6964550</v>
      </c>
      <c r="S134" s="4">
        <v>0</v>
      </c>
      <c r="T134" s="4">
        <v>-22510</v>
      </c>
      <c r="U134" s="24">
        <v>-22510</v>
      </c>
      <c r="V134" s="4">
        <v>200083</v>
      </c>
      <c r="W134" s="14">
        <v>45792</v>
      </c>
      <c r="X134" s="2"/>
      <c r="Y134" s="5" t="s">
        <v>82</v>
      </c>
      <c r="Z134" s="5" t="s">
        <v>1705</v>
      </c>
      <c r="AA134" s="5" t="s">
        <v>2584</v>
      </c>
      <c r="AB134" s="21" t="s">
        <v>2</v>
      </c>
      <c r="AC134" s="54" t="s">
        <v>4179</v>
      </c>
    </row>
    <row r="135" spans="2:29" x14ac:dyDescent="0.3">
      <c r="B135" s="18" t="s">
        <v>207</v>
      </c>
      <c r="C135" s="47" t="s">
        <v>226</v>
      </c>
      <c r="D135" s="15" t="s">
        <v>2822</v>
      </c>
      <c r="E135" s="55" t="s">
        <v>2</v>
      </c>
      <c r="F135" s="14">
        <v>44790</v>
      </c>
      <c r="G135" s="5" t="s">
        <v>2185</v>
      </c>
      <c r="H135" s="2"/>
      <c r="I135" s="4">
        <v>1492755</v>
      </c>
      <c r="J135" s="4">
        <v>1500000</v>
      </c>
      <c r="K135" s="4">
        <v>1487280</v>
      </c>
      <c r="L135" s="4">
        <v>1490194</v>
      </c>
      <c r="M135" s="4">
        <v>0</v>
      </c>
      <c r="N135" s="4">
        <v>1087</v>
      </c>
      <c r="O135" s="4">
        <v>0</v>
      </c>
      <c r="P135" s="24">
        <v>1087</v>
      </c>
      <c r="Q135" s="4">
        <v>0</v>
      </c>
      <c r="R135" s="4">
        <v>1491281</v>
      </c>
      <c r="S135" s="4">
        <v>0</v>
      </c>
      <c r="T135" s="4">
        <v>1474</v>
      </c>
      <c r="U135" s="24">
        <v>1474</v>
      </c>
      <c r="V135" s="4">
        <v>46375</v>
      </c>
      <c r="W135" s="14">
        <v>46478</v>
      </c>
      <c r="X135" s="2"/>
      <c r="Y135" s="5" t="s">
        <v>82</v>
      </c>
      <c r="Z135" s="5" t="s">
        <v>1705</v>
      </c>
      <c r="AA135" s="5" t="s">
        <v>2584</v>
      </c>
      <c r="AB135" s="21" t="s">
        <v>2</v>
      </c>
      <c r="AC135" s="54" t="s">
        <v>4179</v>
      </c>
    </row>
    <row r="136" spans="2:29" x14ac:dyDescent="0.3">
      <c r="B136" s="18" t="s">
        <v>1355</v>
      </c>
      <c r="C136" s="47" t="s">
        <v>3871</v>
      </c>
      <c r="D136" s="15" t="s">
        <v>4502</v>
      </c>
      <c r="E136" s="55" t="s">
        <v>2</v>
      </c>
      <c r="F136" s="14">
        <v>44791</v>
      </c>
      <c r="G136" s="5" t="s">
        <v>2185</v>
      </c>
      <c r="H136" s="2"/>
      <c r="I136" s="4">
        <v>5014550</v>
      </c>
      <c r="J136" s="4">
        <v>5000000</v>
      </c>
      <c r="K136" s="4">
        <v>4995150</v>
      </c>
      <c r="L136" s="4">
        <v>4997550</v>
      </c>
      <c r="M136" s="4">
        <v>0</v>
      </c>
      <c r="N136" s="4">
        <v>452</v>
      </c>
      <c r="O136" s="4">
        <v>0</v>
      </c>
      <c r="P136" s="24">
        <v>452</v>
      </c>
      <c r="Q136" s="4">
        <v>0</v>
      </c>
      <c r="R136" s="4">
        <v>4998002</v>
      </c>
      <c r="S136" s="4">
        <v>0</v>
      </c>
      <c r="T136" s="4">
        <v>16548</v>
      </c>
      <c r="U136" s="24">
        <v>16548</v>
      </c>
      <c r="V136" s="4">
        <v>169444</v>
      </c>
      <c r="W136" s="14">
        <v>45764</v>
      </c>
      <c r="X136" s="2"/>
      <c r="Y136" s="5" t="s">
        <v>1112</v>
      </c>
      <c r="Z136" s="5" t="s">
        <v>1596</v>
      </c>
      <c r="AA136" s="5" t="s">
        <v>2</v>
      </c>
      <c r="AB136" s="21" t="s">
        <v>2</v>
      </c>
      <c r="AC136" s="54" t="s">
        <v>4179</v>
      </c>
    </row>
    <row r="137" spans="2:29" x14ac:dyDescent="0.3">
      <c r="B137" s="18" t="s">
        <v>2483</v>
      </c>
      <c r="C137" s="47" t="s">
        <v>481</v>
      </c>
      <c r="D137" s="15" t="s">
        <v>3621</v>
      </c>
      <c r="E137" s="55" t="s">
        <v>2</v>
      </c>
      <c r="F137" s="14">
        <v>44743</v>
      </c>
      <c r="G137" s="5" t="s">
        <v>466</v>
      </c>
      <c r="H137" s="2"/>
      <c r="I137" s="4">
        <v>5000000</v>
      </c>
      <c r="J137" s="4">
        <v>5000000</v>
      </c>
      <c r="K137" s="4">
        <v>4992950</v>
      </c>
      <c r="L137" s="4">
        <v>4999250</v>
      </c>
      <c r="M137" s="4">
        <v>0</v>
      </c>
      <c r="N137" s="4">
        <v>561</v>
      </c>
      <c r="O137" s="4">
        <v>0</v>
      </c>
      <c r="P137" s="24">
        <v>561</v>
      </c>
      <c r="Q137" s="4">
        <v>0</v>
      </c>
      <c r="R137" s="4">
        <v>4999812</v>
      </c>
      <c r="S137" s="4">
        <v>0</v>
      </c>
      <c r="T137" s="4">
        <v>188</v>
      </c>
      <c r="U137" s="24">
        <v>188</v>
      </c>
      <c r="V137" s="4">
        <v>135417</v>
      </c>
      <c r="W137" s="14">
        <v>44805</v>
      </c>
      <c r="X137" s="2"/>
      <c r="Y137" s="5" t="s">
        <v>886</v>
      </c>
      <c r="Z137" s="5" t="s">
        <v>885</v>
      </c>
      <c r="AA137" s="5" t="s">
        <v>2</v>
      </c>
      <c r="AB137" s="21" t="s">
        <v>2</v>
      </c>
      <c r="AC137" s="54" t="s">
        <v>4179</v>
      </c>
    </row>
    <row r="138" spans="2:29" x14ac:dyDescent="0.3">
      <c r="B138" s="18" t="s">
        <v>4126</v>
      </c>
      <c r="C138" s="47" t="s">
        <v>2712</v>
      </c>
      <c r="D138" s="15" t="s">
        <v>2713</v>
      </c>
      <c r="E138" s="55" t="s">
        <v>2</v>
      </c>
      <c r="F138" s="14">
        <v>44650</v>
      </c>
      <c r="G138" s="5" t="s">
        <v>1867</v>
      </c>
      <c r="H138" s="2"/>
      <c r="I138" s="4">
        <v>5004150</v>
      </c>
      <c r="J138" s="4">
        <v>5000000</v>
      </c>
      <c r="K138" s="4">
        <v>4982300</v>
      </c>
      <c r="L138" s="4">
        <v>4995457</v>
      </c>
      <c r="M138" s="4">
        <v>0</v>
      </c>
      <c r="N138" s="4">
        <v>669</v>
      </c>
      <c r="O138" s="4">
        <v>0</v>
      </c>
      <c r="P138" s="24">
        <v>669</v>
      </c>
      <c r="Q138" s="4">
        <v>0</v>
      </c>
      <c r="R138" s="4">
        <v>4996126</v>
      </c>
      <c r="S138" s="4">
        <v>0</v>
      </c>
      <c r="T138" s="4">
        <v>8024</v>
      </c>
      <c r="U138" s="24">
        <v>8024</v>
      </c>
      <c r="V138" s="4">
        <v>72917</v>
      </c>
      <c r="W138" s="14">
        <v>45170</v>
      </c>
      <c r="X138" s="2"/>
      <c r="Y138" s="5" t="s">
        <v>886</v>
      </c>
      <c r="Z138" s="5" t="s">
        <v>885</v>
      </c>
      <c r="AA138" s="5" t="s">
        <v>2</v>
      </c>
      <c r="AB138" s="21" t="s">
        <v>2</v>
      </c>
      <c r="AC138" s="54" t="s">
        <v>4179</v>
      </c>
    </row>
    <row r="139" spans="2:29" x14ac:dyDescent="0.3">
      <c r="B139" s="18" t="s">
        <v>715</v>
      </c>
      <c r="C139" s="47" t="s">
        <v>4149</v>
      </c>
      <c r="D139" s="15" t="s">
        <v>227</v>
      </c>
      <c r="E139" s="55" t="s">
        <v>2</v>
      </c>
      <c r="F139" s="14">
        <v>44820</v>
      </c>
      <c r="G139" s="5" t="s">
        <v>2704</v>
      </c>
      <c r="H139" s="2"/>
      <c r="I139" s="4">
        <v>5000000</v>
      </c>
      <c r="J139" s="4">
        <v>5000000</v>
      </c>
      <c r="K139" s="4">
        <v>4998627</v>
      </c>
      <c r="L139" s="4">
        <v>4999382</v>
      </c>
      <c r="M139" s="4">
        <v>0</v>
      </c>
      <c r="N139" s="4">
        <v>618</v>
      </c>
      <c r="O139" s="4">
        <v>0</v>
      </c>
      <c r="P139" s="24">
        <v>618</v>
      </c>
      <c r="Q139" s="4">
        <v>0</v>
      </c>
      <c r="R139" s="4">
        <v>5000000</v>
      </c>
      <c r="S139" s="4">
        <v>0</v>
      </c>
      <c r="T139" s="4">
        <v>0</v>
      </c>
      <c r="U139" s="24">
        <v>0</v>
      </c>
      <c r="V139" s="4">
        <v>135750</v>
      </c>
      <c r="W139" s="14">
        <v>45460</v>
      </c>
      <c r="X139" s="2"/>
      <c r="Y139" s="5" t="s">
        <v>2</v>
      </c>
      <c r="Z139" s="5" t="s">
        <v>409</v>
      </c>
      <c r="AA139" s="5" t="s">
        <v>2499</v>
      </c>
      <c r="AB139" s="21" t="s">
        <v>2</v>
      </c>
      <c r="AC139" s="54" t="s">
        <v>4179</v>
      </c>
    </row>
    <row r="140" spans="2:29" x14ac:dyDescent="0.3">
      <c r="B140" s="18" t="s">
        <v>1853</v>
      </c>
      <c r="C140" s="47" t="s">
        <v>4150</v>
      </c>
      <c r="D140" s="15" t="s">
        <v>3577</v>
      </c>
      <c r="E140" s="55" t="s">
        <v>2</v>
      </c>
      <c r="F140" s="14">
        <v>44910</v>
      </c>
      <c r="G140" s="5" t="s">
        <v>2704</v>
      </c>
      <c r="H140" s="2"/>
      <c r="I140" s="4">
        <v>7500000</v>
      </c>
      <c r="J140" s="4">
        <v>7500000</v>
      </c>
      <c r="K140" s="4">
        <v>7499399</v>
      </c>
      <c r="L140" s="4">
        <v>7499799</v>
      </c>
      <c r="M140" s="4">
        <v>0</v>
      </c>
      <c r="N140" s="4">
        <v>201</v>
      </c>
      <c r="O140" s="4">
        <v>0</v>
      </c>
      <c r="P140" s="24">
        <v>201</v>
      </c>
      <c r="Q140" s="4">
        <v>0</v>
      </c>
      <c r="R140" s="4">
        <v>7500000</v>
      </c>
      <c r="S140" s="4">
        <v>0</v>
      </c>
      <c r="T140" s="4">
        <v>0</v>
      </c>
      <c r="U140" s="24">
        <v>0</v>
      </c>
      <c r="V140" s="4">
        <v>252750</v>
      </c>
      <c r="W140" s="14">
        <v>45706</v>
      </c>
      <c r="X140" s="2"/>
      <c r="Y140" s="5" t="s">
        <v>2</v>
      </c>
      <c r="Z140" s="5" t="s">
        <v>2139</v>
      </c>
      <c r="AA140" s="5" t="s">
        <v>824</v>
      </c>
      <c r="AB140" s="21" t="s">
        <v>2</v>
      </c>
      <c r="AC140" s="54" t="s">
        <v>4179</v>
      </c>
    </row>
    <row r="141" spans="2:29" x14ac:dyDescent="0.3">
      <c r="B141" s="18" t="s">
        <v>2989</v>
      </c>
      <c r="C141" s="47" t="s">
        <v>2714</v>
      </c>
      <c r="D141" s="15" t="s">
        <v>3577</v>
      </c>
      <c r="E141" s="55" t="s">
        <v>2</v>
      </c>
      <c r="F141" s="14">
        <v>44910</v>
      </c>
      <c r="G141" s="5" t="s">
        <v>2704</v>
      </c>
      <c r="H141" s="2"/>
      <c r="I141" s="4">
        <v>4000000</v>
      </c>
      <c r="J141" s="4">
        <v>4000000</v>
      </c>
      <c r="K141" s="4">
        <v>3998616</v>
      </c>
      <c r="L141" s="4">
        <v>3999340</v>
      </c>
      <c r="M141" s="4">
        <v>0</v>
      </c>
      <c r="N141" s="4">
        <v>660</v>
      </c>
      <c r="O141" s="4">
        <v>0</v>
      </c>
      <c r="P141" s="24">
        <v>660</v>
      </c>
      <c r="Q141" s="4">
        <v>0</v>
      </c>
      <c r="R141" s="4">
        <v>4000000</v>
      </c>
      <c r="S141" s="4">
        <v>0</v>
      </c>
      <c r="T141" s="4">
        <v>0</v>
      </c>
      <c r="U141" s="24">
        <v>0</v>
      </c>
      <c r="V141" s="4">
        <v>141600</v>
      </c>
      <c r="W141" s="14">
        <v>46070</v>
      </c>
      <c r="X141" s="2"/>
      <c r="Y141" s="5" t="s">
        <v>2</v>
      </c>
      <c r="Z141" s="5" t="s">
        <v>2139</v>
      </c>
      <c r="AA141" s="5" t="s">
        <v>824</v>
      </c>
      <c r="AB141" s="21" t="s">
        <v>2</v>
      </c>
      <c r="AC141" s="54" t="s">
        <v>4179</v>
      </c>
    </row>
    <row r="142" spans="2:29" x14ac:dyDescent="0.3">
      <c r="B142" s="18" t="s">
        <v>4128</v>
      </c>
      <c r="C142" s="47" t="s">
        <v>1379</v>
      </c>
      <c r="D142" s="15" t="s">
        <v>3622</v>
      </c>
      <c r="E142" s="55" t="s">
        <v>2</v>
      </c>
      <c r="F142" s="14">
        <v>44612</v>
      </c>
      <c r="G142" s="5" t="s">
        <v>2704</v>
      </c>
      <c r="H142" s="2"/>
      <c r="I142" s="4">
        <v>3449558</v>
      </c>
      <c r="J142" s="4">
        <v>3449558</v>
      </c>
      <c r="K142" s="4">
        <v>3448892</v>
      </c>
      <c r="L142" s="4">
        <v>3449316</v>
      </c>
      <c r="M142" s="4">
        <v>0</v>
      </c>
      <c r="N142" s="4">
        <v>242</v>
      </c>
      <c r="O142" s="4">
        <v>0</v>
      </c>
      <c r="P142" s="24">
        <v>242</v>
      </c>
      <c r="Q142" s="4">
        <v>0</v>
      </c>
      <c r="R142" s="4">
        <v>3449558</v>
      </c>
      <c r="S142" s="4">
        <v>0</v>
      </c>
      <c r="T142" s="4">
        <v>0</v>
      </c>
      <c r="U142" s="24">
        <v>0</v>
      </c>
      <c r="V142" s="4">
        <v>10818</v>
      </c>
      <c r="W142" s="14">
        <v>47381</v>
      </c>
      <c r="X142" s="2"/>
      <c r="Y142" s="5" t="s">
        <v>2</v>
      </c>
      <c r="Z142" s="5" t="s">
        <v>3016</v>
      </c>
      <c r="AA142" s="5" t="s">
        <v>824</v>
      </c>
      <c r="AB142" s="21" t="s">
        <v>2</v>
      </c>
      <c r="AC142" s="54" t="s">
        <v>4179</v>
      </c>
    </row>
    <row r="143" spans="2:29" x14ac:dyDescent="0.3">
      <c r="B143" s="18" t="s">
        <v>716</v>
      </c>
      <c r="C143" s="47" t="s">
        <v>3872</v>
      </c>
      <c r="D143" s="15" t="s">
        <v>3622</v>
      </c>
      <c r="E143" s="55" t="s">
        <v>2</v>
      </c>
      <c r="F143" s="14">
        <v>44793</v>
      </c>
      <c r="G143" s="5" t="s">
        <v>2704</v>
      </c>
      <c r="H143" s="2"/>
      <c r="I143" s="4">
        <v>1000000</v>
      </c>
      <c r="J143" s="4">
        <v>1000000</v>
      </c>
      <c r="K143" s="4">
        <v>999845</v>
      </c>
      <c r="L143" s="4">
        <v>999949</v>
      </c>
      <c r="M143" s="4">
        <v>0</v>
      </c>
      <c r="N143" s="4">
        <v>51</v>
      </c>
      <c r="O143" s="4">
        <v>0</v>
      </c>
      <c r="P143" s="24">
        <v>51</v>
      </c>
      <c r="Q143" s="4">
        <v>0</v>
      </c>
      <c r="R143" s="4">
        <v>1000000</v>
      </c>
      <c r="S143" s="4">
        <v>0</v>
      </c>
      <c r="T143" s="4">
        <v>0</v>
      </c>
      <c r="U143" s="24">
        <v>0</v>
      </c>
      <c r="V143" s="4">
        <v>10907</v>
      </c>
      <c r="W143" s="14">
        <v>47381</v>
      </c>
      <c r="X143" s="2"/>
      <c r="Y143" s="5" t="s">
        <v>2</v>
      </c>
      <c r="Z143" s="5" t="s">
        <v>3016</v>
      </c>
      <c r="AA143" s="5" t="s">
        <v>824</v>
      </c>
      <c r="AB143" s="21" t="s">
        <v>2</v>
      </c>
      <c r="AC143" s="54" t="s">
        <v>4179</v>
      </c>
    </row>
    <row r="144" spans="2:29" x14ac:dyDescent="0.3">
      <c r="B144" s="18" t="s">
        <v>1854</v>
      </c>
      <c r="C144" s="47" t="s">
        <v>1113</v>
      </c>
      <c r="D144" s="15" t="s">
        <v>1597</v>
      </c>
      <c r="E144" s="55" t="s">
        <v>2</v>
      </c>
      <c r="F144" s="14">
        <v>44642</v>
      </c>
      <c r="G144" s="5" t="s">
        <v>4466</v>
      </c>
      <c r="H144" s="2"/>
      <c r="I144" s="4">
        <v>3981875</v>
      </c>
      <c r="J144" s="4">
        <v>4000000</v>
      </c>
      <c r="K144" s="4">
        <v>3999946</v>
      </c>
      <c r="L144" s="4">
        <v>3999947</v>
      </c>
      <c r="M144" s="4">
        <v>0</v>
      </c>
      <c r="N144" s="4">
        <v>0</v>
      </c>
      <c r="O144" s="4">
        <v>0</v>
      </c>
      <c r="P144" s="24">
        <v>0</v>
      </c>
      <c r="Q144" s="4">
        <v>0</v>
      </c>
      <c r="R144" s="4">
        <v>3999947</v>
      </c>
      <c r="S144" s="4">
        <v>0</v>
      </c>
      <c r="T144" s="4">
        <v>-18072</v>
      </c>
      <c r="U144" s="24">
        <v>-18072</v>
      </c>
      <c r="V144" s="4">
        <v>21202</v>
      </c>
      <c r="W144" s="14">
        <v>47534</v>
      </c>
      <c r="X144" s="2"/>
      <c r="Y144" s="5" t="s">
        <v>2</v>
      </c>
      <c r="Z144" s="5" t="s">
        <v>742</v>
      </c>
      <c r="AA144" s="5" t="s">
        <v>824</v>
      </c>
      <c r="AB144" s="21" t="s">
        <v>2</v>
      </c>
      <c r="AC144" s="54" t="s">
        <v>4179</v>
      </c>
    </row>
    <row r="145" spans="2:29" x14ac:dyDescent="0.3">
      <c r="B145" s="18" t="s">
        <v>2990</v>
      </c>
      <c r="C145" s="47" t="s">
        <v>4151</v>
      </c>
      <c r="D145" s="15" t="s">
        <v>1597</v>
      </c>
      <c r="E145" s="55" t="s">
        <v>2</v>
      </c>
      <c r="F145" s="14">
        <v>44663</v>
      </c>
      <c r="G145" s="5" t="s">
        <v>200</v>
      </c>
      <c r="H145" s="2"/>
      <c r="I145" s="4">
        <v>9916016</v>
      </c>
      <c r="J145" s="4">
        <v>10000000</v>
      </c>
      <c r="K145" s="4">
        <v>9997289</v>
      </c>
      <c r="L145" s="4">
        <v>9998710</v>
      </c>
      <c r="M145" s="4">
        <v>0</v>
      </c>
      <c r="N145" s="4">
        <v>221</v>
      </c>
      <c r="O145" s="4">
        <v>0</v>
      </c>
      <c r="P145" s="24">
        <v>221</v>
      </c>
      <c r="Q145" s="4">
        <v>0</v>
      </c>
      <c r="R145" s="4">
        <v>9998931</v>
      </c>
      <c r="S145" s="4">
        <v>0</v>
      </c>
      <c r="T145" s="4">
        <v>-82916</v>
      </c>
      <c r="U145" s="24">
        <v>-82916</v>
      </c>
      <c r="V145" s="4">
        <v>71567</v>
      </c>
      <c r="W145" s="14">
        <v>47534</v>
      </c>
      <c r="X145" s="2"/>
      <c r="Y145" s="5" t="s">
        <v>2</v>
      </c>
      <c r="Z145" s="5" t="s">
        <v>742</v>
      </c>
      <c r="AA145" s="5" t="s">
        <v>824</v>
      </c>
      <c r="AB145" s="21" t="s">
        <v>2</v>
      </c>
      <c r="AC145" s="54" t="s">
        <v>4179</v>
      </c>
    </row>
    <row r="146" spans="2:29" x14ac:dyDescent="0.3">
      <c r="B146" s="18" t="s">
        <v>4472</v>
      </c>
      <c r="C146" s="47" t="s">
        <v>1016</v>
      </c>
      <c r="D146" s="15" t="s">
        <v>4068</v>
      </c>
      <c r="E146" s="55" t="s">
        <v>2</v>
      </c>
      <c r="F146" s="14">
        <v>44904</v>
      </c>
      <c r="G146" s="5" t="s">
        <v>2704</v>
      </c>
      <c r="H146" s="2"/>
      <c r="I146" s="4">
        <v>1373083</v>
      </c>
      <c r="J146" s="4">
        <v>1373083</v>
      </c>
      <c r="K146" s="4">
        <v>1372874</v>
      </c>
      <c r="L146" s="4">
        <v>1372905</v>
      </c>
      <c r="M146" s="4">
        <v>0</v>
      </c>
      <c r="N146" s="4">
        <v>178</v>
      </c>
      <c r="O146" s="4">
        <v>0</v>
      </c>
      <c r="P146" s="24">
        <v>178</v>
      </c>
      <c r="Q146" s="4">
        <v>0</v>
      </c>
      <c r="R146" s="4">
        <v>1373083</v>
      </c>
      <c r="S146" s="4">
        <v>0</v>
      </c>
      <c r="T146" s="4">
        <v>0</v>
      </c>
      <c r="U146" s="24">
        <v>0</v>
      </c>
      <c r="V146" s="4">
        <v>9905</v>
      </c>
      <c r="W146" s="14">
        <v>51052</v>
      </c>
      <c r="X146" s="2"/>
      <c r="Y146" s="5" t="s">
        <v>2</v>
      </c>
      <c r="Z146" s="5" t="s">
        <v>412</v>
      </c>
      <c r="AA146" s="5" t="s">
        <v>824</v>
      </c>
      <c r="AB146" s="21" t="s">
        <v>2</v>
      </c>
      <c r="AC146" s="54" t="s">
        <v>4179</v>
      </c>
    </row>
    <row r="147" spans="2:29" x14ac:dyDescent="0.3">
      <c r="B147" s="18" t="s">
        <v>1076</v>
      </c>
      <c r="C147" s="47" t="s">
        <v>1017</v>
      </c>
      <c r="D147" s="15" t="s">
        <v>4068</v>
      </c>
      <c r="E147" s="55" t="s">
        <v>2</v>
      </c>
      <c r="F147" s="14">
        <v>44904</v>
      </c>
      <c r="G147" s="5" t="s">
        <v>2704</v>
      </c>
      <c r="H147" s="2"/>
      <c r="I147" s="4">
        <v>813679</v>
      </c>
      <c r="J147" s="4">
        <v>813679</v>
      </c>
      <c r="K147" s="4">
        <v>813470</v>
      </c>
      <c r="L147" s="4">
        <v>813500</v>
      </c>
      <c r="M147" s="4">
        <v>0</v>
      </c>
      <c r="N147" s="4">
        <v>179</v>
      </c>
      <c r="O147" s="4">
        <v>0</v>
      </c>
      <c r="P147" s="24">
        <v>179</v>
      </c>
      <c r="Q147" s="4">
        <v>0</v>
      </c>
      <c r="R147" s="4">
        <v>813679</v>
      </c>
      <c r="S147" s="4">
        <v>0</v>
      </c>
      <c r="T147" s="4">
        <v>0</v>
      </c>
      <c r="U147" s="24">
        <v>0</v>
      </c>
      <c r="V147" s="4">
        <v>9417</v>
      </c>
      <c r="W147" s="14">
        <v>51052</v>
      </c>
      <c r="X147" s="2"/>
      <c r="Y147" s="5" t="s">
        <v>2</v>
      </c>
      <c r="Z147" s="5" t="s">
        <v>412</v>
      </c>
      <c r="AA147" s="5" t="s">
        <v>824</v>
      </c>
      <c r="AB147" s="21" t="s">
        <v>2</v>
      </c>
      <c r="AC147" s="54" t="s">
        <v>4179</v>
      </c>
    </row>
    <row r="148" spans="2:29" x14ac:dyDescent="0.3">
      <c r="B148" s="18" t="s">
        <v>2991</v>
      </c>
      <c r="C148" s="47" t="s">
        <v>2500</v>
      </c>
      <c r="D148" s="15" t="s">
        <v>2358</v>
      </c>
      <c r="E148" s="55" t="s">
        <v>2</v>
      </c>
      <c r="F148" s="14">
        <v>44719</v>
      </c>
      <c r="G148" s="5" t="s">
        <v>730</v>
      </c>
      <c r="H148" s="2"/>
      <c r="I148" s="4">
        <v>9000000</v>
      </c>
      <c r="J148" s="4">
        <v>9000000</v>
      </c>
      <c r="K148" s="4">
        <v>9000000</v>
      </c>
      <c r="L148" s="4">
        <v>9000000</v>
      </c>
      <c r="M148" s="4">
        <v>0</v>
      </c>
      <c r="N148" s="4">
        <v>0</v>
      </c>
      <c r="O148" s="4">
        <v>0</v>
      </c>
      <c r="P148" s="24">
        <v>0</v>
      </c>
      <c r="Q148" s="4">
        <v>0</v>
      </c>
      <c r="R148" s="4">
        <v>9000000</v>
      </c>
      <c r="S148" s="4">
        <v>0</v>
      </c>
      <c r="T148" s="4">
        <v>0</v>
      </c>
      <c r="U148" s="24">
        <v>0</v>
      </c>
      <c r="V148" s="4">
        <v>129600</v>
      </c>
      <c r="W148" s="14">
        <v>44719</v>
      </c>
      <c r="X148" s="2"/>
      <c r="Y148" s="5" t="s">
        <v>2</v>
      </c>
      <c r="Z148" s="5" t="s">
        <v>333</v>
      </c>
      <c r="AA148" s="5" t="s">
        <v>333</v>
      </c>
      <c r="AB148" s="21" t="s">
        <v>2</v>
      </c>
      <c r="AC148" s="54" t="s">
        <v>4179</v>
      </c>
    </row>
    <row r="149" spans="2:29" x14ac:dyDescent="0.3">
      <c r="B149" s="18" t="s">
        <v>4129</v>
      </c>
      <c r="C149" s="47" t="s">
        <v>3017</v>
      </c>
      <c r="D149" s="15" t="s">
        <v>3623</v>
      </c>
      <c r="E149" s="55" t="s">
        <v>2</v>
      </c>
      <c r="F149" s="14">
        <v>44866</v>
      </c>
      <c r="G149" s="5" t="s">
        <v>2979</v>
      </c>
      <c r="H149" s="2"/>
      <c r="I149" s="4">
        <v>4956250</v>
      </c>
      <c r="J149" s="4">
        <v>5000000</v>
      </c>
      <c r="K149" s="4">
        <v>4997900</v>
      </c>
      <c r="L149" s="4">
        <v>4999396</v>
      </c>
      <c r="M149" s="4">
        <v>0</v>
      </c>
      <c r="N149" s="4">
        <v>366</v>
      </c>
      <c r="O149" s="4">
        <v>0</v>
      </c>
      <c r="P149" s="24">
        <v>366</v>
      </c>
      <c r="Q149" s="4">
        <v>0</v>
      </c>
      <c r="R149" s="4">
        <v>4999762</v>
      </c>
      <c r="S149" s="4">
        <v>0</v>
      </c>
      <c r="T149" s="4">
        <v>-43512</v>
      </c>
      <c r="U149" s="24">
        <v>-43512</v>
      </c>
      <c r="V149" s="4">
        <v>163125</v>
      </c>
      <c r="W149" s="14">
        <v>45061</v>
      </c>
      <c r="X149" s="2"/>
      <c r="Y149" s="5" t="s">
        <v>228</v>
      </c>
      <c r="Z149" s="5" t="s">
        <v>2501</v>
      </c>
      <c r="AA149" s="5" t="s">
        <v>2</v>
      </c>
      <c r="AB149" s="21" t="s">
        <v>2</v>
      </c>
      <c r="AC149" s="54" t="s">
        <v>4179</v>
      </c>
    </row>
    <row r="150" spans="2:29" x14ac:dyDescent="0.3">
      <c r="B150" s="18" t="s">
        <v>717</v>
      </c>
      <c r="C150" s="47" t="s">
        <v>671</v>
      </c>
      <c r="D150" s="15" t="s">
        <v>3790</v>
      </c>
      <c r="E150" s="55" t="s">
        <v>2</v>
      </c>
      <c r="F150" s="14">
        <v>44920</v>
      </c>
      <c r="G150" s="5" t="s">
        <v>2704</v>
      </c>
      <c r="H150" s="2"/>
      <c r="I150" s="4">
        <v>641015</v>
      </c>
      <c r="J150" s="4">
        <v>641015</v>
      </c>
      <c r="K150" s="4">
        <v>641000</v>
      </c>
      <c r="L150" s="4">
        <v>640994</v>
      </c>
      <c r="M150" s="4">
        <v>0</v>
      </c>
      <c r="N150" s="4">
        <v>21</v>
      </c>
      <c r="O150" s="4">
        <v>0</v>
      </c>
      <c r="P150" s="24">
        <v>21</v>
      </c>
      <c r="Q150" s="4">
        <v>0</v>
      </c>
      <c r="R150" s="4">
        <v>641015</v>
      </c>
      <c r="S150" s="4">
        <v>0</v>
      </c>
      <c r="T150" s="4">
        <v>0</v>
      </c>
      <c r="U150" s="24">
        <v>0</v>
      </c>
      <c r="V150" s="4">
        <v>11764</v>
      </c>
      <c r="W150" s="14">
        <v>48269</v>
      </c>
      <c r="X150" s="2"/>
      <c r="Y150" s="5" t="s">
        <v>2</v>
      </c>
      <c r="Z150" s="5" t="s">
        <v>4070</v>
      </c>
      <c r="AA150" s="5" t="s">
        <v>824</v>
      </c>
      <c r="AB150" s="21" t="s">
        <v>2</v>
      </c>
      <c r="AC150" s="54" t="s">
        <v>4179</v>
      </c>
    </row>
    <row r="151" spans="2:29" x14ac:dyDescent="0.3">
      <c r="B151" s="18" t="s">
        <v>1855</v>
      </c>
      <c r="C151" s="47" t="s">
        <v>3277</v>
      </c>
      <c r="D151" s="15" t="s">
        <v>3790</v>
      </c>
      <c r="E151" s="55" t="s">
        <v>2</v>
      </c>
      <c r="F151" s="14">
        <v>44920</v>
      </c>
      <c r="G151" s="5" t="s">
        <v>2704</v>
      </c>
      <c r="H151" s="2"/>
      <c r="I151" s="4">
        <v>769218</v>
      </c>
      <c r="J151" s="4">
        <v>769218</v>
      </c>
      <c r="K151" s="4">
        <v>775678</v>
      </c>
      <c r="L151" s="4">
        <v>773572</v>
      </c>
      <c r="M151" s="4">
        <v>0</v>
      </c>
      <c r="N151" s="4">
        <v>-4354</v>
      </c>
      <c r="O151" s="4">
        <v>0</v>
      </c>
      <c r="P151" s="24">
        <v>-4354</v>
      </c>
      <c r="Q151" s="4">
        <v>0</v>
      </c>
      <c r="R151" s="4">
        <v>769218</v>
      </c>
      <c r="S151" s="4">
        <v>0</v>
      </c>
      <c r="T151" s="4">
        <v>0</v>
      </c>
      <c r="U151" s="24">
        <v>0</v>
      </c>
      <c r="V151" s="4">
        <v>14755</v>
      </c>
      <c r="W151" s="14">
        <v>48269</v>
      </c>
      <c r="X151" s="2"/>
      <c r="Y151" s="5" t="s">
        <v>2</v>
      </c>
      <c r="Z151" s="5" t="s">
        <v>4070</v>
      </c>
      <c r="AA151" s="5" t="s">
        <v>824</v>
      </c>
      <c r="AB151" s="21" t="s">
        <v>2</v>
      </c>
      <c r="AC151" s="54" t="s">
        <v>4179</v>
      </c>
    </row>
    <row r="152" spans="2:29" x14ac:dyDescent="0.3">
      <c r="B152" s="18" t="s">
        <v>2993</v>
      </c>
      <c r="C152" s="47" t="s">
        <v>3278</v>
      </c>
      <c r="D152" s="15" t="s">
        <v>3790</v>
      </c>
      <c r="E152" s="55" t="s">
        <v>2</v>
      </c>
      <c r="F152" s="14">
        <v>44920</v>
      </c>
      <c r="G152" s="5" t="s">
        <v>2704</v>
      </c>
      <c r="H152" s="2"/>
      <c r="I152" s="4">
        <v>1064085</v>
      </c>
      <c r="J152" s="4">
        <v>1064085</v>
      </c>
      <c r="K152" s="4">
        <v>1085917</v>
      </c>
      <c r="L152" s="4">
        <v>1082160</v>
      </c>
      <c r="M152" s="4">
        <v>0</v>
      </c>
      <c r="N152" s="4">
        <v>-18075</v>
      </c>
      <c r="O152" s="4">
        <v>0</v>
      </c>
      <c r="P152" s="24">
        <v>-18075</v>
      </c>
      <c r="Q152" s="4">
        <v>0</v>
      </c>
      <c r="R152" s="4">
        <v>1064085</v>
      </c>
      <c r="S152" s="4">
        <v>0</v>
      </c>
      <c r="T152" s="4">
        <v>0</v>
      </c>
      <c r="U152" s="24">
        <v>0</v>
      </c>
      <c r="V152" s="4">
        <v>22066</v>
      </c>
      <c r="W152" s="14">
        <v>48269</v>
      </c>
      <c r="X152" s="2"/>
      <c r="Y152" s="5" t="s">
        <v>2</v>
      </c>
      <c r="Z152" s="5" t="s">
        <v>4070</v>
      </c>
      <c r="AA152" s="5" t="s">
        <v>824</v>
      </c>
      <c r="AB152" s="21" t="s">
        <v>2</v>
      </c>
      <c r="AC152" s="54" t="s">
        <v>4179</v>
      </c>
    </row>
    <row r="153" spans="2:29" x14ac:dyDescent="0.3">
      <c r="B153" s="18" t="s">
        <v>4131</v>
      </c>
      <c r="C153" s="47" t="s">
        <v>4071</v>
      </c>
      <c r="D153" s="15" t="s">
        <v>414</v>
      </c>
      <c r="E153" s="55" t="s">
        <v>2</v>
      </c>
      <c r="F153" s="14">
        <v>44920</v>
      </c>
      <c r="G153" s="5" t="s">
        <v>2704</v>
      </c>
      <c r="H153" s="2"/>
      <c r="I153" s="4">
        <v>1331514</v>
      </c>
      <c r="J153" s="4">
        <v>1331514</v>
      </c>
      <c r="K153" s="4">
        <v>1340563</v>
      </c>
      <c r="L153" s="4">
        <v>1338909</v>
      </c>
      <c r="M153" s="4">
        <v>0</v>
      </c>
      <c r="N153" s="4">
        <v>-7395</v>
      </c>
      <c r="O153" s="4">
        <v>0</v>
      </c>
      <c r="P153" s="24">
        <v>-7395</v>
      </c>
      <c r="Q153" s="4">
        <v>0</v>
      </c>
      <c r="R153" s="4">
        <v>1331514</v>
      </c>
      <c r="S153" s="4">
        <v>0</v>
      </c>
      <c r="T153" s="4">
        <v>0</v>
      </c>
      <c r="U153" s="24">
        <v>0</v>
      </c>
      <c r="V153" s="4">
        <v>15630</v>
      </c>
      <c r="W153" s="14">
        <v>48785</v>
      </c>
      <c r="X153" s="2"/>
      <c r="Y153" s="5" t="s">
        <v>2</v>
      </c>
      <c r="Z153" s="5" t="s">
        <v>4072</v>
      </c>
      <c r="AA153" s="5" t="s">
        <v>824</v>
      </c>
      <c r="AB153" s="21" t="s">
        <v>2</v>
      </c>
      <c r="AC153" s="54" t="s">
        <v>4179</v>
      </c>
    </row>
    <row r="154" spans="2:29" x14ac:dyDescent="0.3">
      <c r="B154" s="18" t="s">
        <v>718</v>
      </c>
      <c r="C154" s="47" t="s">
        <v>4073</v>
      </c>
      <c r="D154" s="15" t="s">
        <v>414</v>
      </c>
      <c r="E154" s="55" t="s">
        <v>2</v>
      </c>
      <c r="F154" s="14">
        <v>44920</v>
      </c>
      <c r="G154" s="5" t="s">
        <v>2704</v>
      </c>
      <c r="H154" s="2"/>
      <c r="I154" s="4">
        <v>665757</v>
      </c>
      <c r="J154" s="4">
        <v>665757</v>
      </c>
      <c r="K154" s="4">
        <v>665690</v>
      </c>
      <c r="L154" s="4">
        <v>665703</v>
      </c>
      <c r="M154" s="4">
        <v>0</v>
      </c>
      <c r="N154" s="4">
        <v>55</v>
      </c>
      <c r="O154" s="4">
        <v>0</v>
      </c>
      <c r="P154" s="24">
        <v>55</v>
      </c>
      <c r="Q154" s="4">
        <v>0</v>
      </c>
      <c r="R154" s="4">
        <v>665757</v>
      </c>
      <c r="S154" s="4">
        <v>0</v>
      </c>
      <c r="T154" s="4">
        <v>0</v>
      </c>
      <c r="U154" s="24">
        <v>0</v>
      </c>
      <c r="V154" s="4">
        <v>8483</v>
      </c>
      <c r="W154" s="14">
        <v>48785</v>
      </c>
      <c r="X154" s="2"/>
      <c r="Y154" s="5" t="s">
        <v>2</v>
      </c>
      <c r="Z154" s="5" t="s">
        <v>4072</v>
      </c>
      <c r="AA154" s="5" t="s">
        <v>824</v>
      </c>
      <c r="AB154" s="21" t="s">
        <v>2</v>
      </c>
      <c r="AC154" s="54" t="s">
        <v>4179</v>
      </c>
    </row>
    <row r="155" spans="2:29" x14ac:dyDescent="0.3">
      <c r="B155" s="18" t="s">
        <v>2200</v>
      </c>
      <c r="C155" s="47" t="s">
        <v>4074</v>
      </c>
      <c r="D155" s="15" t="s">
        <v>414</v>
      </c>
      <c r="E155" s="55" t="s">
        <v>2</v>
      </c>
      <c r="F155" s="14">
        <v>44920</v>
      </c>
      <c r="G155" s="5" t="s">
        <v>2704</v>
      </c>
      <c r="H155" s="2"/>
      <c r="I155" s="4">
        <v>499318</v>
      </c>
      <c r="J155" s="4">
        <v>499318</v>
      </c>
      <c r="K155" s="4">
        <v>499315</v>
      </c>
      <c r="L155" s="4">
        <v>499310</v>
      </c>
      <c r="M155" s="4">
        <v>0</v>
      </c>
      <c r="N155" s="4">
        <v>8</v>
      </c>
      <c r="O155" s="4">
        <v>0</v>
      </c>
      <c r="P155" s="24">
        <v>8</v>
      </c>
      <c r="Q155" s="4">
        <v>0</v>
      </c>
      <c r="R155" s="4">
        <v>499318</v>
      </c>
      <c r="S155" s="4">
        <v>0</v>
      </c>
      <c r="T155" s="4">
        <v>0</v>
      </c>
      <c r="U155" s="24">
        <v>0</v>
      </c>
      <c r="V155" s="4">
        <v>7114</v>
      </c>
      <c r="W155" s="14">
        <v>48785</v>
      </c>
      <c r="X155" s="2"/>
      <c r="Y155" s="5" t="s">
        <v>2</v>
      </c>
      <c r="Z155" s="5" t="s">
        <v>4072</v>
      </c>
      <c r="AA155" s="5" t="s">
        <v>824</v>
      </c>
      <c r="AB155" s="21" t="s">
        <v>2</v>
      </c>
      <c r="AC155" s="54" t="s">
        <v>4179</v>
      </c>
    </row>
    <row r="156" spans="2:29" x14ac:dyDescent="0.3">
      <c r="B156" s="18" t="s">
        <v>3332</v>
      </c>
      <c r="C156" s="47" t="s">
        <v>1319</v>
      </c>
      <c r="D156" s="15" t="s">
        <v>3790</v>
      </c>
      <c r="E156" s="55" t="s">
        <v>2</v>
      </c>
      <c r="F156" s="14">
        <v>44920</v>
      </c>
      <c r="G156" s="5" t="s">
        <v>2704</v>
      </c>
      <c r="H156" s="2"/>
      <c r="I156" s="4">
        <v>587989</v>
      </c>
      <c r="J156" s="4">
        <v>587989</v>
      </c>
      <c r="K156" s="4">
        <v>606364</v>
      </c>
      <c r="L156" s="4">
        <v>603586</v>
      </c>
      <c r="M156" s="4">
        <v>0</v>
      </c>
      <c r="N156" s="4">
        <v>-15597</v>
      </c>
      <c r="O156" s="4">
        <v>0</v>
      </c>
      <c r="P156" s="24">
        <v>-15597</v>
      </c>
      <c r="Q156" s="4">
        <v>0</v>
      </c>
      <c r="R156" s="4">
        <v>587989</v>
      </c>
      <c r="S156" s="4">
        <v>0</v>
      </c>
      <c r="T156" s="4">
        <v>0</v>
      </c>
      <c r="U156" s="24">
        <v>0</v>
      </c>
      <c r="V156" s="4">
        <v>8629</v>
      </c>
      <c r="W156" s="14">
        <v>50826</v>
      </c>
      <c r="X156" s="2"/>
      <c r="Y156" s="5" t="s">
        <v>2</v>
      </c>
      <c r="Z156" s="5" t="s">
        <v>4070</v>
      </c>
      <c r="AA156" s="5" t="s">
        <v>824</v>
      </c>
      <c r="AB156" s="21" t="s">
        <v>2</v>
      </c>
      <c r="AC156" s="54" t="s">
        <v>4179</v>
      </c>
    </row>
    <row r="157" spans="2:29" x14ac:dyDescent="0.3">
      <c r="B157" s="18" t="s">
        <v>4474</v>
      </c>
      <c r="C157" s="47" t="s">
        <v>3018</v>
      </c>
      <c r="D157" s="15" t="s">
        <v>2715</v>
      </c>
      <c r="E157" s="55" t="s">
        <v>2</v>
      </c>
      <c r="F157" s="14">
        <v>44896</v>
      </c>
      <c r="G157" s="5" t="s">
        <v>1060</v>
      </c>
      <c r="H157" s="2"/>
      <c r="I157" s="4">
        <v>7000000</v>
      </c>
      <c r="J157" s="4">
        <v>7000000</v>
      </c>
      <c r="K157" s="4">
        <v>6917950</v>
      </c>
      <c r="L157" s="4">
        <v>6979248</v>
      </c>
      <c r="M157" s="4">
        <v>0</v>
      </c>
      <c r="N157" s="4">
        <v>20752</v>
      </c>
      <c r="O157" s="4">
        <v>0</v>
      </c>
      <c r="P157" s="24">
        <v>20752</v>
      </c>
      <c r="Q157" s="4">
        <v>0</v>
      </c>
      <c r="R157" s="4">
        <v>7000000</v>
      </c>
      <c r="S157" s="4">
        <v>0</v>
      </c>
      <c r="T157" s="4">
        <v>0</v>
      </c>
      <c r="U157" s="24">
        <v>0</v>
      </c>
      <c r="V157" s="4">
        <v>220500</v>
      </c>
      <c r="W157" s="14">
        <v>44896</v>
      </c>
      <c r="X157" s="2"/>
      <c r="Y157" s="5" t="s">
        <v>3963</v>
      </c>
      <c r="Z157" s="5" t="s">
        <v>3477</v>
      </c>
      <c r="AA157" s="5" t="s">
        <v>3477</v>
      </c>
      <c r="AB157" s="21" t="s">
        <v>2</v>
      </c>
      <c r="AC157" s="54" t="s">
        <v>4179</v>
      </c>
    </row>
    <row r="158" spans="2:29" x14ac:dyDescent="0.3">
      <c r="B158" s="18" t="s">
        <v>1856</v>
      </c>
      <c r="C158" s="47" t="s">
        <v>3366</v>
      </c>
      <c r="D158" s="15" t="s">
        <v>3019</v>
      </c>
      <c r="E158" s="55" t="s">
        <v>2</v>
      </c>
      <c r="F158" s="14">
        <v>44656</v>
      </c>
      <c r="G158" s="5" t="s">
        <v>2981</v>
      </c>
      <c r="H158" s="2"/>
      <c r="I158" s="4">
        <v>8505977</v>
      </c>
      <c r="J158" s="4">
        <v>8500000</v>
      </c>
      <c r="K158" s="4">
        <v>8499873</v>
      </c>
      <c r="L158" s="4">
        <v>8499966</v>
      </c>
      <c r="M158" s="4">
        <v>0</v>
      </c>
      <c r="N158" s="4">
        <v>15</v>
      </c>
      <c r="O158" s="4">
        <v>0</v>
      </c>
      <c r="P158" s="24">
        <v>15</v>
      </c>
      <c r="Q158" s="4">
        <v>0</v>
      </c>
      <c r="R158" s="4">
        <v>8499981</v>
      </c>
      <c r="S158" s="4">
        <v>0</v>
      </c>
      <c r="T158" s="4">
        <v>5996</v>
      </c>
      <c r="U158" s="24">
        <v>5996</v>
      </c>
      <c r="V158" s="4">
        <v>56062</v>
      </c>
      <c r="W158" s="14">
        <v>45427</v>
      </c>
      <c r="X158" s="2"/>
      <c r="Y158" s="5" t="s">
        <v>2</v>
      </c>
      <c r="Z158" s="5" t="s">
        <v>229</v>
      </c>
      <c r="AA158" s="5" t="s">
        <v>824</v>
      </c>
      <c r="AB158" s="21" t="s">
        <v>2</v>
      </c>
      <c r="AC158" s="54" t="s">
        <v>4179</v>
      </c>
    </row>
    <row r="159" spans="2:29" x14ac:dyDescent="0.3">
      <c r="B159" s="18" t="s">
        <v>2995</v>
      </c>
      <c r="C159" s="47" t="s">
        <v>2716</v>
      </c>
      <c r="D159" s="15" t="s">
        <v>1881</v>
      </c>
      <c r="E159" s="55" t="s">
        <v>2</v>
      </c>
      <c r="F159" s="14">
        <v>44771</v>
      </c>
      <c r="G159" s="5" t="s">
        <v>730</v>
      </c>
      <c r="H159" s="2"/>
      <c r="I159" s="4">
        <v>7000000</v>
      </c>
      <c r="J159" s="4">
        <v>7000000</v>
      </c>
      <c r="K159" s="4">
        <v>6996920</v>
      </c>
      <c r="L159" s="4">
        <v>6999720</v>
      </c>
      <c r="M159" s="4">
        <v>0</v>
      </c>
      <c r="N159" s="4">
        <v>280</v>
      </c>
      <c r="O159" s="4">
        <v>0</v>
      </c>
      <c r="P159" s="24">
        <v>280</v>
      </c>
      <c r="Q159" s="4">
        <v>0</v>
      </c>
      <c r="R159" s="4">
        <v>7000000</v>
      </c>
      <c r="S159" s="4">
        <v>0</v>
      </c>
      <c r="T159" s="4">
        <v>0</v>
      </c>
      <c r="U159" s="24">
        <v>0</v>
      </c>
      <c r="V159" s="4">
        <v>217000</v>
      </c>
      <c r="W159" s="14">
        <v>44771</v>
      </c>
      <c r="X159" s="2"/>
      <c r="Y159" s="5" t="s">
        <v>84</v>
      </c>
      <c r="Z159" s="5" t="s">
        <v>1463</v>
      </c>
      <c r="AA159" s="5" t="s">
        <v>2</v>
      </c>
      <c r="AB159" s="21" t="s">
        <v>2</v>
      </c>
      <c r="AC159" s="54" t="s">
        <v>4179</v>
      </c>
    </row>
    <row r="160" spans="2:29" x14ac:dyDescent="0.3">
      <c r="B160" s="18" t="s">
        <v>4132</v>
      </c>
      <c r="C160" s="47" t="s">
        <v>2502</v>
      </c>
      <c r="D160" s="15" t="s">
        <v>3965</v>
      </c>
      <c r="E160" s="55" t="s">
        <v>2</v>
      </c>
      <c r="F160" s="14">
        <v>44676</v>
      </c>
      <c r="G160" s="5" t="s">
        <v>1867</v>
      </c>
      <c r="H160" s="2"/>
      <c r="I160" s="4">
        <v>5008950</v>
      </c>
      <c r="J160" s="4">
        <v>5000000</v>
      </c>
      <c r="K160" s="4">
        <v>5044350</v>
      </c>
      <c r="L160" s="4">
        <v>5020453</v>
      </c>
      <c r="M160" s="4">
        <v>0</v>
      </c>
      <c r="N160" s="4">
        <v>-2914</v>
      </c>
      <c r="O160" s="4">
        <v>0</v>
      </c>
      <c r="P160" s="24">
        <v>-2914</v>
      </c>
      <c r="Q160" s="4">
        <v>0</v>
      </c>
      <c r="R160" s="4">
        <v>5017538</v>
      </c>
      <c r="S160" s="4">
        <v>0</v>
      </c>
      <c r="T160" s="4">
        <v>-8588</v>
      </c>
      <c r="U160" s="24">
        <v>-8588</v>
      </c>
      <c r="V160" s="4">
        <v>66285</v>
      </c>
      <c r="W160" s="14">
        <v>45423</v>
      </c>
      <c r="X160" s="2"/>
      <c r="Y160" s="5" t="s">
        <v>84</v>
      </c>
      <c r="Z160" s="5" t="s">
        <v>1463</v>
      </c>
      <c r="AA160" s="5" t="s">
        <v>1237</v>
      </c>
      <c r="AB160" s="21" t="s">
        <v>2</v>
      </c>
      <c r="AC160" s="54" t="s">
        <v>4179</v>
      </c>
    </row>
    <row r="161" spans="2:29" x14ac:dyDescent="0.3">
      <c r="B161" s="18" t="s">
        <v>720</v>
      </c>
      <c r="C161" s="47" t="s">
        <v>3020</v>
      </c>
      <c r="D161" s="15" t="s">
        <v>85</v>
      </c>
      <c r="E161" s="55" t="s">
        <v>2</v>
      </c>
      <c r="F161" s="14">
        <v>44724</v>
      </c>
      <c r="G161" s="5" t="s">
        <v>1380</v>
      </c>
      <c r="H161" s="2"/>
      <c r="I161" s="4">
        <v>2525685</v>
      </c>
      <c r="J161" s="4">
        <v>2500000</v>
      </c>
      <c r="K161" s="4">
        <v>2498850</v>
      </c>
      <c r="L161" s="4">
        <v>2499623</v>
      </c>
      <c r="M161" s="4">
        <v>0</v>
      </c>
      <c r="N161" s="4">
        <v>96</v>
      </c>
      <c r="O161" s="4">
        <v>0</v>
      </c>
      <c r="P161" s="24">
        <v>96</v>
      </c>
      <c r="Q161" s="4">
        <v>0</v>
      </c>
      <c r="R161" s="4">
        <v>2499719</v>
      </c>
      <c r="S161" s="4">
        <v>0</v>
      </c>
      <c r="T161" s="4">
        <v>281</v>
      </c>
      <c r="U161" s="24">
        <v>281</v>
      </c>
      <c r="V161" s="4">
        <v>88216</v>
      </c>
      <c r="W161" s="14">
        <v>45190</v>
      </c>
      <c r="X161" s="2"/>
      <c r="Y161" s="5" t="s">
        <v>2013</v>
      </c>
      <c r="Z161" s="5" t="s">
        <v>85</v>
      </c>
      <c r="AA161" s="5" t="s">
        <v>2</v>
      </c>
      <c r="AB161" s="21" t="s">
        <v>2</v>
      </c>
      <c r="AC161" s="54" t="s">
        <v>4179</v>
      </c>
    </row>
    <row r="162" spans="2:29" x14ac:dyDescent="0.3">
      <c r="B162" s="18" t="s">
        <v>1857</v>
      </c>
      <c r="C162" s="47" t="s">
        <v>3624</v>
      </c>
      <c r="D162" s="15" t="s">
        <v>743</v>
      </c>
      <c r="E162" s="55" t="s">
        <v>2</v>
      </c>
      <c r="F162" s="14">
        <v>44671</v>
      </c>
      <c r="G162" s="5" t="s">
        <v>4461</v>
      </c>
      <c r="H162" s="2"/>
      <c r="I162" s="4">
        <v>5011250</v>
      </c>
      <c r="J162" s="4">
        <v>5000000</v>
      </c>
      <c r="K162" s="4">
        <v>4986700</v>
      </c>
      <c r="L162" s="4">
        <v>4997174</v>
      </c>
      <c r="M162" s="4">
        <v>0</v>
      </c>
      <c r="N162" s="4">
        <v>622</v>
      </c>
      <c r="O162" s="4">
        <v>0</v>
      </c>
      <c r="P162" s="24">
        <v>622</v>
      </c>
      <c r="Q162" s="4">
        <v>0</v>
      </c>
      <c r="R162" s="4">
        <v>4997796</v>
      </c>
      <c r="S162" s="4">
        <v>0</v>
      </c>
      <c r="T162" s="4">
        <v>13454</v>
      </c>
      <c r="U162" s="24">
        <v>13454</v>
      </c>
      <c r="V162" s="4">
        <v>57750</v>
      </c>
      <c r="W162" s="14">
        <v>45064</v>
      </c>
      <c r="X162" s="2"/>
      <c r="Y162" s="5" t="s">
        <v>3967</v>
      </c>
      <c r="Z162" s="5" t="s">
        <v>572</v>
      </c>
      <c r="AA162" s="5" t="s">
        <v>2</v>
      </c>
      <c r="AB162" s="21" t="s">
        <v>2</v>
      </c>
      <c r="AC162" s="54" t="s">
        <v>4179</v>
      </c>
    </row>
    <row r="163" spans="2:29" x14ac:dyDescent="0.3">
      <c r="B163" s="18" t="s">
        <v>3333</v>
      </c>
      <c r="C163" s="47" t="s">
        <v>4503</v>
      </c>
      <c r="D163" s="15" t="s">
        <v>3021</v>
      </c>
      <c r="E163" s="55" t="s">
        <v>2</v>
      </c>
      <c r="F163" s="14">
        <v>44712</v>
      </c>
      <c r="G163" s="5" t="s">
        <v>3022</v>
      </c>
      <c r="H163" s="2"/>
      <c r="I163" s="4">
        <v>2017564</v>
      </c>
      <c r="J163" s="4">
        <v>2000000</v>
      </c>
      <c r="K163" s="4">
        <v>2041820</v>
      </c>
      <c r="L163" s="4">
        <v>2008994</v>
      </c>
      <c r="M163" s="4">
        <v>0</v>
      </c>
      <c r="N163" s="4">
        <v>-5290</v>
      </c>
      <c r="O163" s="4">
        <v>0</v>
      </c>
      <c r="P163" s="24">
        <v>-5290</v>
      </c>
      <c r="Q163" s="4">
        <v>0</v>
      </c>
      <c r="R163" s="4">
        <v>2003704</v>
      </c>
      <c r="S163" s="4">
        <v>0</v>
      </c>
      <c r="T163" s="4">
        <v>-3704</v>
      </c>
      <c r="U163" s="24">
        <v>-3704</v>
      </c>
      <c r="V163" s="4">
        <v>84408</v>
      </c>
      <c r="W163" s="14">
        <v>44819</v>
      </c>
      <c r="X163" s="2"/>
      <c r="Y163" s="5" t="s">
        <v>1716</v>
      </c>
      <c r="Z163" s="5" t="s">
        <v>2015</v>
      </c>
      <c r="AA163" s="5" t="s">
        <v>2015</v>
      </c>
      <c r="AB163" s="21" t="s">
        <v>2</v>
      </c>
      <c r="AC163" s="54" t="s">
        <v>4179</v>
      </c>
    </row>
    <row r="164" spans="2:29" x14ac:dyDescent="0.3">
      <c r="B164" s="18" t="s">
        <v>4475</v>
      </c>
      <c r="C164" s="47" t="s">
        <v>1882</v>
      </c>
      <c r="D164" s="15" t="s">
        <v>2717</v>
      </c>
      <c r="E164" s="55" t="s">
        <v>2</v>
      </c>
      <c r="F164" s="14">
        <v>44760</v>
      </c>
      <c r="G164" s="5" t="s">
        <v>1060</v>
      </c>
      <c r="H164" s="2"/>
      <c r="I164" s="4">
        <v>4978550</v>
      </c>
      <c r="J164" s="4">
        <v>5000000</v>
      </c>
      <c r="K164" s="4">
        <v>5109400</v>
      </c>
      <c r="L164" s="4">
        <v>5041028</v>
      </c>
      <c r="M164" s="4">
        <v>0</v>
      </c>
      <c r="N164" s="4">
        <v>-14410</v>
      </c>
      <c r="O164" s="4">
        <v>0</v>
      </c>
      <c r="P164" s="24">
        <v>-14410</v>
      </c>
      <c r="Q164" s="4">
        <v>0</v>
      </c>
      <c r="R164" s="4">
        <v>5026618</v>
      </c>
      <c r="S164" s="4">
        <v>0</v>
      </c>
      <c r="T164" s="4">
        <v>-48068</v>
      </c>
      <c r="U164" s="24">
        <v>-48068</v>
      </c>
      <c r="V164" s="4">
        <v>188268</v>
      </c>
      <c r="W164" s="14">
        <v>45496</v>
      </c>
      <c r="X164" s="2"/>
      <c r="Y164" s="5" t="s">
        <v>3967</v>
      </c>
      <c r="Z164" s="5" t="s">
        <v>572</v>
      </c>
      <c r="AA164" s="5" t="s">
        <v>2</v>
      </c>
      <c r="AB164" s="21" t="s">
        <v>2</v>
      </c>
      <c r="AC164" s="54" t="s">
        <v>4179</v>
      </c>
    </row>
    <row r="165" spans="2:29" x14ac:dyDescent="0.3">
      <c r="B165" s="18" t="s">
        <v>1078</v>
      </c>
      <c r="C165" s="47" t="s">
        <v>2503</v>
      </c>
      <c r="D165" s="15" t="s">
        <v>2504</v>
      </c>
      <c r="E165" s="55" t="s">
        <v>2</v>
      </c>
      <c r="F165" s="14">
        <v>44841</v>
      </c>
      <c r="G165" s="5" t="s">
        <v>1861</v>
      </c>
      <c r="H165" s="2"/>
      <c r="I165" s="4">
        <v>5000000</v>
      </c>
      <c r="J165" s="4">
        <v>5000000</v>
      </c>
      <c r="K165" s="4">
        <v>5000000</v>
      </c>
      <c r="L165" s="4">
        <v>5000000</v>
      </c>
      <c r="M165" s="4">
        <v>0</v>
      </c>
      <c r="N165" s="4">
        <v>0</v>
      </c>
      <c r="O165" s="4">
        <v>0</v>
      </c>
      <c r="P165" s="24">
        <v>0</v>
      </c>
      <c r="Q165" s="4">
        <v>0</v>
      </c>
      <c r="R165" s="4">
        <v>5000000</v>
      </c>
      <c r="S165" s="4">
        <v>0</v>
      </c>
      <c r="T165" s="4">
        <v>0</v>
      </c>
      <c r="U165" s="24">
        <v>0</v>
      </c>
      <c r="V165" s="4">
        <v>195115</v>
      </c>
      <c r="W165" s="14">
        <v>45785</v>
      </c>
      <c r="X165" s="2"/>
      <c r="Y165" s="5" t="s">
        <v>1114</v>
      </c>
      <c r="Z165" s="5" t="s">
        <v>482</v>
      </c>
      <c r="AA165" s="5" t="s">
        <v>744</v>
      </c>
      <c r="AB165" s="21" t="s">
        <v>2</v>
      </c>
      <c r="AC165" s="54" t="s">
        <v>4179</v>
      </c>
    </row>
    <row r="166" spans="2:29" x14ac:dyDescent="0.3">
      <c r="B166" s="18" t="s">
        <v>2201</v>
      </c>
      <c r="C166" s="47" t="s">
        <v>483</v>
      </c>
      <c r="D166" s="15" t="s">
        <v>1115</v>
      </c>
      <c r="E166" s="55" t="s">
        <v>2</v>
      </c>
      <c r="F166" s="14">
        <v>44658</v>
      </c>
      <c r="G166" s="5" t="s">
        <v>1867</v>
      </c>
      <c r="H166" s="2"/>
      <c r="I166" s="4">
        <v>4165750</v>
      </c>
      <c r="J166" s="4">
        <v>4167000</v>
      </c>
      <c r="K166" s="4">
        <v>4163250</v>
      </c>
      <c r="L166" s="4">
        <v>4165920</v>
      </c>
      <c r="M166" s="4">
        <v>0</v>
      </c>
      <c r="N166" s="4">
        <v>153</v>
      </c>
      <c r="O166" s="4">
        <v>0</v>
      </c>
      <c r="P166" s="24">
        <v>153</v>
      </c>
      <c r="Q166" s="4">
        <v>0</v>
      </c>
      <c r="R166" s="4">
        <v>4166073</v>
      </c>
      <c r="S166" s="4">
        <v>0</v>
      </c>
      <c r="T166" s="4">
        <v>-323</v>
      </c>
      <c r="U166" s="24">
        <v>-323</v>
      </c>
      <c r="V166" s="4">
        <v>39876</v>
      </c>
      <c r="W166" s="14">
        <v>45261</v>
      </c>
      <c r="X166" s="2"/>
      <c r="Y166" s="5" t="s">
        <v>745</v>
      </c>
      <c r="Z166" s="5" t="s">
        <v>3873</v>
      </c>
      <c r="AA166" s="5" t="s">
        <v>2</v>
      </c>
      <c r="AB166" s="21" t="s">
        <v>2</v>
      </c>
      <c r="AC166" s="54" t="s">
        <v>4179</v>
      </c>
    </row>
    <row r="167" spans="2:29" x14ac:dyDescent="0.3">
      <c r="B167" s="18" t="s">
        <v>3334</v>
      </c>
      <c r="C167" s="47" t="s">
        <v>4504</v>
      </c>
      <c r="D167" s="15" t="s">
        <v>3023</v>
      </c>
      <c r="E167" s="55" t="s">
        <v>2</v>
      </c>
      <c r="F167" s="14">
        <v>44818</v>
      </c>
      <c r="G167" s="5" t="s">
        <v>1349</v>
      </c>
      <c r="H167" s="2"/>
      <c r="I167" s="4">
        <v>5001600</v>
      </c>
      <c r="J167" s="4">
        <v>5000000</v>
      </c>
      <c r="K167" s="4">
        <v>5000000</v>
      </c>
      <c r="L167" s="4">
        <v>5000000</v>
      </c>
      <c r="M167" s="4">
        <v>0</v>
      </c>
      <c r="N167" s="4">
        <v>0</v>
      </c>
      <c r="O167" s="4">
        <v>0</v>
      </c>
      <c r="P167" s="24">
        <v>0</v>
      </c>
      <c r="Q167" s="4">
        <v>0</v>
      </c>
      <c r="R167" s="4">
        <v>5000000</v>
      </c>
      <c r="S167" s="4">
        <v>0</v>
      </c>
      <c r="T167" s="4">
        <v>1600</v>
      </c>
      <c r="U167" s="24">
        <v>1600</v>
      </c>
      <c r="V167" s="4">
        <v>178520</v>
      </c>
      <c r="W167" s="14">
        <v>45802</v>
      </c>
      <c r="X167" s="2"/>
      <c r="Y167" s="5" t="s">
        <v>2</v>
      </c>
      <c r="Z167" s="5" t="s">
        <v>4263</v>
      </c>
      <c r="AA167" s="5" t="s">
        <v>2</v>
      </c>
      <c r="AB167" s="21" t="s">
        <v>2</v>
      </c>
      <c r="AC167" s="54" t="s">
        <v>4179</v>
      </c>
    </row>
    <row r="168" spans="2:29" x14ac:dyDescent="0.3">
      <c r="B168" s="18" t="s">
        <v>721</v>
      </c>
      <c r="C168" s="47" t="s">
        <v>1472</v>
      </c>
      <c r="D168" s="15" t="s">
        <v>3158</v>
      </c>
      <c r="E168" s="55" t="s">
        <v>2</v>
      </c>
      <c r="F168" s="14">
        <v>44777</v>
      </c>
      <c r="G168" s="5" t="s">
        <v>2482</v>
      </c>
      <c r="H168" s="2"/>
      <c r="I168" s="4">
        <v>3462410</v>
      </c>
      <c r="J168" s="4">
        <v>3500000</v>
      </c>
      <c r="K168" s="4">
        <v>3492125</v>
      </c>
      <c r="L168" s="4">
        <v>3496807</v>
      </c>
      <c r="M168" s="4">
        <v>0</v>
      </c>
      <c r="N168" s="4">
        <v>697</v>
      </c>
      <c r="O168" s="4">
        <v>0</v>
      </c>
      <c r="P168" s="24">
        <v>697</v>
      </c>
      <c r="Q168" s="4">
        <v>0</v>
      </c>
      <c r="R168" s="4">
        <v>3497505</v>
      </c>
      <c r="S168" s="4">
        <v>0</v>
      </c>
      <c r="T168" s="4">
        <v>-35095</v>
      </c>
      <c r="U168" s="24">
        <v>-35095</v>
      </c>
      <c r="V168" s="4">
        <v>106483</v>
      </c>
      <c r="W168" s="14">
        <v>45536</v>
      </c>
      <c r="X168" s="2"/>
      <c r="Y168" s="5" t="s">
        <v>2021</v>
      </c>
      <c r="Z168" s="5" t="s">
        <v>574</v>
      </c>
      <c r="AA168" s="5" t="s">
        <v>3482</v>
      </c>
      <c r="AB168" s="21" t="s">
        <v>2</v>
      </c>
      <c r="AC168" s="54" t="s">
        <v>4179</v>
      </c>
    </row>
    <row r="169" spans="2:29" x14ac:dyDescent="0.3">
      <c r="B169" s="18" t="s">
        <v>1858</v>
      </c>
      <c r="C169" s="47" t="s">
        <v>230</v>
      </c>
      <c r="D169" s="15" t="s">
        <v>4152</v>
      </c>
      <c r="E169" s="55" t="s">
        <v>2</v>
      </c>
      <c r="F169" s="14">
        <v>44756</v>
      </c>
      <c r="G169" s="5" t="s">
        <v>2482</v>
      </c>
      <c r="H169" s="2"/>
      <c r="I169" s="4">
        <v>978430</v>
      </c>
      <c r="J169" s="4">
        <v>1000000</v>
      </c>
      <c r="K169" s="4">
        <v>997161</v>
      </c>
      <c r="L169" s="4">
        <v>997545</v>
      </c>
      <c r="M169" s="4">
        <v>0</v>
      </c>
      <c r="N169" s="4">
        <v>378</v>
      </c>
      <c r="O169" s="4">
        <v>0</v>
      </c>
      <c r="P169" s="24">
        <v>378</v>
      </c>
      <c r="Q169" s="4">
        <v>0</v>
      </c>
      <c r="R169" s="4">
        <v>997923</v>
      </c>
      <c r="S169" s="4">
        <v>0</v>
      </c>
      <c r="T169" s="4">
        <v>-19493</v>
      </c>
      <c r="U169" s="24">
        <v>-19493</v>
      </c>
      <c r="V169" s="4">
        <v>24469</v>
      </c>
      <c r="W169" s="14">
        <v>45792</v>
      </c>
      <c r="X169" s="2"/>
      <c r="Y169" s="5" t="s">
        <v>3712</v>
      </c>
      <c r="Z169" s="5" t="s">
        <v>2369</v>
      </c>
      <c r="AA169" s="5" t="s">
        <v>2</v>
      </c>
      <c r="AB169" s="21" t="s">
        <v>2</v>
      </c>
      <c r="AC169" s="54" t="s">
        <v>4179</v>
      </c>
    </row>
    <row r="170" spans="2:29" x14ac:dyDescent="0.3">
      <c r="B170" s="18" t="s">
        <v>2996</v>
      </c>
      <c r="C170" s="47" t="s">
        <v>3625</v>
      </c>
      <c r="D170" s="15" t="s">
        <v>231</v>
      </c>
      <c r="E170" s="55" t="s">
        <v>2</v>
      </c>
      <c r="F170" s="14">
        <v>44775</v>
      </c>
      <c r="G170" s="5" t="s">
        <v>200</v>
      </c>
      <c r="H170" s="2"/>
      <c r="I170" s="4">
        <v>1825000</v>
      </c>
      <c r="J170" s="4">
        <v>2000000</v>
      </c>
      <c r="K170" s="4">
        <v>2000000</v>
      </c>
      <c r="L170" s="4">
        <v>2000000</v>
      </c>
      <c r="M170" s="4">
        <v>0</v>
      </c>
      <c r="N170" s="4">
        <v>0</v>
      </c>
      <c r="O170" s="4">
        <v>0</v>
      </c>
      <c r="P170" s="24">
        <v>0</v>
      </c>
      <c r="Q170" s="4">
        <v>0</v>
      </c>
      <c r="R170" s="4">
        <v>2000000</v>
      </c>
      <c r="S170" s="4">
        <v>0</v>
      </c>
      <c r="T170" s="4">
        <v>-175000</v>
      </c>
      <c r="U170" s="24">
        <v>-175000</v>
      </c>
      <c r="V170" s="4">
        <v>81965</v>
      </c>
      <c r="W170" s="14">
        <v>46645</v>
      </c>
      <c r="X170" s="2"/>
      <c r="Y170" s="5" t="s">
        <v>232</v>
      </c>
      <c r="Z170" s="5" t="s">
        <v>2225</v>
      </c>
      <c r="AA170" s="5" t="s">
        <v>824</v>
      </c>
      <c r="AB170" s="21" t="s">
        <v>2</v>
      </c>
      <c r="AC170" s="54" t="s">
        <v>4179</v>
      </c>
    </row>
    <row r="171" spans="2:29" x14ac:dyDescent="0.3">
      <c r="B171" s="18" t="s">
        <v>4133</v>
      </c>
      <c r="C171" s="47" t="s">
        <v>2226</v>
      </c>
      <c r="D171" s="15" t="s">
        <v>337</v>
      </c>
      <c r="E171" s="55" t="s">
        <v>2</v>
      </c>
      <c r="F171" s="14">
        <v>44681</v>
      </c>
      <c r="G171" s="5" t="s">
        <v>730</v>
      </c>
      <c r="H171" s="2"/>
      <c r="I171" s="4">
        <v>7000000</v>
      </c>
      <c r="J171" s="4">
        <v>7000000</v>
      </c>
      <c r="K171" s="4">
        <v>7098070</v>
      </c>
      <c r="L171" s="4">
        <v>7012779</v>
      </c>
      <c r="M171" s="4">
        <v>0</v>
      </c>
      <c r="N171" s="4">
        <v>-12779</v>
      </c>
      <c r="O171" s="4">
        <v>0</v>
      </c>
      <c r="P171" s="24">
        <v>-12779</v>
      </c>
      <c r="Q171" s="4">
        <v>0</v>
      </c>
      <c r="R171" s="4">
        <v>7000000</v>
      </c>
      <c r="S171" s="4">
        <v>0</v>
      </c>
      <c r="T171" s="4">
        <v>0</v>
      </c>
      <c r="U171" s="24">
        <v>0</v>
      </c>
      <c r="V171" s="4">
        <v>115500</v>
      </c>
      <c r="W171" s="14">
        <v>44681</v>
      </c>
      <c r="X171" s="2"/>
      <c r="Y171" s="5" t="s">
        <v>2</v>
      </c>
      <c r="Z171" s="5" t="s">
        <v>337</v>
      </c>
      <c r="AA171" s="5" t="s">
        <v>2</v>
      </c>
      <c r="AB171" s="21" t="s">
        <v>2</v>
      </c>
      <c r="AC171" s="54" t="s">
        <v>4179</v>
      </c>
    </row>
    <row r="172" spans="2:29" x14ac:dyDescent="0.3">
      <c r="B172" s="18" t="s">
        <v>1079</v>
      </c>
      <c r="C172" s="47" t="s">
        <v>746</v>
      </c>
      <c r="D172" s="15" t="s">
        <v>3626</v>
      </c>
      <c r="E172" s="55" t="s">
        <v>2</v>
      </c>
      <c r="F172" s="14">
        <v>44767</v>
      </c>
      <c r="G172" s="5" t="s">
        <v>457</v>
      </c>
      <c r="H172" s="2"/>
      <c r="I172" s="4">
        <v>2519850</v>
      </c>
      <c r="J172" s="4">
        <v>2500000</v>
      </c>
      <c r="K172" s="4">
        <v>2469150</v>
      </c>
      <c r="L172" s="4">
        <v>2482418</v>
      </c>
      <c r="M172" s="4">
        <v>0</v>
      </c>
      <c r="N172" s="4">
        <v>2334</v>
      </c>
      <c r="O172" s="4">
        <v>0</v>
      </c>
      <c r="P172" s="24">
        <v>2334</v>
      </c>
      <c r="Q172" s="4">
        <v>0</v>
      </c>
      <c r="R172" s="4">
        <v>2484752</v>
      </c>
      <c r="S172" s="4">
        <v>0</v>
      </c>
      <c r="T172" s="4">
        <v>35098</v>
      </c>
      <c r="U172" s="24">
        <v>35098</v>
      </c>
      <c r="V172" s="4">
        <v>91708</v>
      </c>
      <c r="W172" s="14">
        <v>46037</v>
      </c>
      <c r="X172" s="2"/>
      <c r="Y172" s="5" t="s">
        <v>2718</v>
      </c>
      <c r="Z172" s="5" t="s">
        <v>3626</v>
      </c>
      <c r="AA172" s="5" t="s">
        <v>2</v>
      </c>
      <c r="AB172" s="21" t="s">
        <v>2</v>
      </c>
      <c r="AC172" s="54" t="s">
        <v>4179</v>
      </c>
    </row>
    <row r="173" spans="2:29" x14ac:dyDescent="0.3">
      <c r="B173" s="18" t="s">
        <v>2202</v>
      </c>
      <c r="C173" s="47" t="s">
        <v>746</v>
      </c>
      <c r="D173" s="15" t="s">
        <v>3626</v>
      </c>
      <c r="E173" s="55" t="s">
        <v>2</v>
      </c>
      <c r="F173" s="14">
        <v>44692</v>
      </c>
      <c r="G173" s="5" t="s">
        <v>4505</v>
      </c>
      <c r="H173" s="2"/>
      <c r="I173" s="4">
        <v>2525854</v>
      </c>
      <c r="J173" s="4">
        <v>2500000</v>
      </c>
      <c r="K173" s="4">
        <v>2469150</v>
      </c>
      <c r="L173" s="4">
        <v>2482418</v>
      </c>
      <c r="M173" s="4">
        <v>0</v>
      </c>
      <c r="N173" s="4">
        <v>1470</v>
      </c>
      <c r="O173" s="4">
        <v>0</v>
      </c>
      <c r="P173" s="24">
        <v>1470</v>
      </c>
      <c r="Q173" s="4">
        <v>0</v>
      </c>
      <c r="R173" s="4">
        <v>2483888</v>
      </c>
      <c r="S173" s="4">
        <v>0</v>
      </c>
      <c r="T173" s="4">
        <v>16112</v>
      </c>
      <c r="U173" s="24">
        <v>16112</v>
      </c>
      <c r="V173" s="4">
        <v>98827</v>
      </c>
      <c r="W173" s="14">
        <v>46037</v>
      </c>
      <c r="X173" s="2"/>
      <c r="Y173" s="5" t="s">
        <v>2718</v>
      </c>
      <c r="Z173" s="5" t="s">
        <v>3626</v>
      </c>
      <c r="AA173" s="5" t="s">
        <v>2</v>
      </c>
      <c r="AB173" s="21" t="s">
        <v>2</v>
      </c>
      <c r="AC173" s="54" t="s">
        <v>4179</v>
      </c>
    </row>
    <row r="174" spans="2:29" x14ac:dyDescent="0.3">
      <c r="B174" s="18" t="s">
        <v>3335</v>
      </c>
      <c r="C174" s="47" t="s">
        <v>4422</v>
      </c>
      <c r="D174" s="15" t="s">
        <v>2719</v>
      </c>
      <c r="E174" s="55" t="s">
        <v>2</v>
      </c>
      <c r="F174" s="14">
        <v>44880</v>
      </c>
      <c r="G174" s="5" t="s">
        <v>2704</v>
      </c>
      <c r="H174" s="2"/>
      <c r="I174" s="4">
        <v>124918</v>
      </c>
      <c r="J174" s="4">
        <v>124918</v>
      </c>
      <c r="K174" s="4">
        <v>124910</v>
      </c>
      <c r="L174" s="4">
        <v>124915</v>
      </c>
      <c r="M174" s="4">
        <v>0</v>
      </c>
      <c r="N174" s="4">
        <v>3</v>
      </c>
      <c r="O174" s="4">
        <v>0</v>
      </c>
      <c r="P174" s="24">
        <v>3</v>
      </c>
      <c r="Q174" s="4">
        <v>0</v>
      </c>
      <c r="R174" s="4">
        <v>124918</v>
      </c>
      <c r="S174" s="4">
        <v>0</v>
      </c>
      <c r="T174" s="4">
        <v>0</v>
      </c>
      <c r="U174" s="24">
        <v>0</v>
      </c>
      <c r="V174" s="4">
        <v>1451</v>
      </c>
      <c r="W174" s="14">
        <v>52977</v>
      </c>
      <c r="X174" s="2"/>
      <c r="Y174" s="5" t="s">
        <v>2</v>
      </c>
      <c r="Z174" s="5" t="s">
        <v>2143</v>
      </c>
      <c r="AA174" s="5" t="s">
        <v>2</v>
      </c>
      <c r="AB174" s="21" t="s">
        <v>2</v>
      </c>
      <c r="AC174" s="54" t="s">
        <v>4179</v>
      </c>
    </row>
    <row r="175" spans="2:29" x14ac:dyDescent="0.3">
      <c r="B175" s="18" t="s">
        <v>4476</v>
      </c>
      <c r="C175" s="47" t="s">
        <v>4506</v>
      </c>
      <c r="D175" s="15" t="s">
        <v>2505</v>
      </c>
      <c r="E175" s="55" t="s">
        <v>2</v>
      </c>
      <c r="F175" s="14">
        <v>44819</v>
      </c>
      <c r="G175" s="5" t="s">
        <v>466</v>
      </c>
      <c r="H175" s="2"/>
      <c r="I175" s="4">
        <v>3000000</v>
      </c>
      <c r="J175" s="4">
        <v>3000000</v>
      </c>
      <c r="K175" s="4">
        <v>2997930</v>
      </c>
      <c r="L175" s="4">
        <v>2999505</v>
      </c>
      <c r="M175" s="4">
        <v>0</v>
      </c>
      <c r="N175" s="4">
        <v>287</v>
      </c>
      <c r="O175" s="4">
        <v>0</v>
      </c>
      <c r="P175" s="24">
        <v>287</v>
      </c>
      <c r="Q175" s="4">
        <v>0</v>
      </c>
      <c r="R175" s="4">
        <v>2999792</v>
      </c>
      <c r="S175" s="4">
        <v>0</v>
      </c>
      <c r="T175" s="4">
        <v>208</v>
      </c>
      <c r="U175" s="24">
        <v>208</v>
      </c>
      <c r="V175" s="4">
        <v>101250</v>
      </c>
      <c r="W175" s="14">
        <v>45000</v>
      </c>
      <c r="X175" s="2"/>
      <c r="Y175" s="5" t="s">
        <v>1722</v>
      </c>
      <c r="Z175" s="5" t="s">
        <v>339</v>
      </c>
      <c r="AA175" s="5" t="s">
        <v>2</v>
      </c>
      <c r="AB175" s="21" t="s">
        <v>2</v>
      </c>
      <c r="AC175" s="54" t="s">
        <v>4179</v>
      </c>
    </row>
    <row r="176" spans="2:29" x14ac:dyDescent="0.3">
      <c r="B176" s="18" t="s">
        <v>1080</v>
      </c>
      <c r="C176" s="47" t="s">
        <v>1883</v>
      </c>
      <c r="D176" s="15" t="s">
        <v>3367</v>
      </c>
      <c r="E176" s="55" t="s">
        <v>2</v>
      </c>
      <c r="F176" s="14">
        <v>44798</v>
      </c>
      <c r="G176" s="5" t="s">
        <v>3627</v>
      </c>
      <c r="H176" s="2"/>
      <c r="I176" s="4">
        <v>3003029</v>
      </c>
      <c r="J176" s="4">
        <v>3000000</v>
      </c>
      <c r="K176" s="4">
        <v>2995199</v>
      </c>
      <c r="L176" s="4">
        <v>2998217</v>
      </c>
      <c r="M176" s="4">
        <v>0</v>
      </c>
      <c r="N176" s="4">
        <v>1260</v>
      </c>
      <c r="O176" s="4">
        <v>0</v>
      </c>
      <c r="P176" s="24">
        <v>1260</v>
      </c>
      <c r="Q176" s="4">
        <v>0</v>
      </c>
      <c r="R176" s="4">
        <v>2999477</v>
      </c>
      <c r="S176" s="4">
        <v>0</v>
      </c>
      <c r="T176" s="4">
        <v>523</v>
      </c>
      <c r="U176" s="24">
        <v>523</v>
      </c>
      <c r="V176" s="4">
        <v>80029</v>
      </c>
      <c r="W176" s="14">
        <v>44896</v>
      </c>
      <c r="X176" s="2"/>
      <c r="Y176" s="5" t="s">
        <v>1722</v>
      </c>
      <c r="Z176" s="5" t="s">
        <v>339</v>
      </c>
      <c r="AA176" s="5" t="s">
        <v>2</v>
      </c>
      <c r="AB176" s="21" t="s">
        <v>2</v>
      </c>
      <c r="AC176" s="54" t="s">
        <v>4179</v>
      </c>
    </row>
    <row r="177" spans="2:29" x14ac:dyDescent="0.3">
      <c r="B177" s="18" t="s">
        <v>2203</v>
      </c>
      <c r="C177" s="47" t="s">
        <v>4153</v>
      </c>
      <c r="D177" s="15" t="s">
        <v>1598</v>
      </c>
      <c r="E177" s="55" t="s">
        <v>2</v>
      </c>
      <c r="F177" s="14">
        <v>44854</v>
      </c>
      <c r="G177" s="5" t="s">
        <v>2704</v>
      </c>
      <c r="H177" s="2"/>
      <c r="I177" s="4">
        <v>499278</v>
      </c>
      <c r="J177" s="4">
        <v>499278</v>
      </c>
      <c r="K177" s="4">
        <v>499133</v>
      </c>
      <c r="L177" s="4">
        <v>499207</v>
      </c>
      <c r="M177" s="4">
        <v>0</v>
      </c>
      <c r="N177" s="4">
        <v>70</v>
      </c>
      <c r="O177" s="4">
        <v>0</v>
      </c>
      <c r="P177" s="24">
        <v>70</v>
      </c>
      <c r="Q177" s="4">
        <v>0</v>
      </c>
      <c r="R177" s="4">
        <v>499278</v>
      </c>
      <c r="S177" s="4">
        <v>0</v>
      </c>
      <c r="T177" s="4">
        <v>0</v>
      </c>
      <c r="U177" s="24">
        <v>0</v>
      </c>
      <c r="V177" s="4">
        <v>9669</v>
      </c>
      <c r="W177" s="14">
        <v>48933</v>
      </c>
      <c r="X177" s="2"/>
      <c r="Y177" s="5" t="s">
        <v>2</v>
      </c>
      <c r="Z177" s="5" t="s">
        <v>1598</v>
      </c>
      <c r="AA177" s="5" t="s">
        <v>2</v>
      </c>
      <c r="AB177" s="21" t="s">
        <v>2</v>
      </c>
      <c r="AC177" s="54" t="s">
        <v>4179</v>
      </c>
    </row>
    <row r="178" spans="2:29" x14ac:dyDescent="0.3">
      <c r="B178" s="18" t="s">
        <v>4134</v>
      </c>
      <c r="C178" s="47" t="s">
        <v>3793</v>
      </c>
      <c r="D178" s="15" t="s">
        <v>419</v>
      </c>
      <c r="E178" s="55" t="s">
        <v>2</v>
      </c>
      <c r="F178" s="14">
        <v>44915</v>
      </c>
      <c r="G178" s="5" t="s">
        <v>2704</v>
      </c>
      <c r="H178" s="2"/>
      <c r="I178" s="4">
        <v>124779</v>
      </c>
      <c r="J178" s="4">
        <v>124779</v>
      </c>
      <c r="K178" s="4">
        <v>127470</v>
      </c>
      <c r="L178" s="4">
        <v>126996</v>
      </c>
      <c r="M178" s="4">
        <v>0</v>
      </c>
      <c r="N178" s="4">
        <v>-2217</v>
      </c>
      <c r="O178" s="4">
        <v>0</v>
      </c>
      <c r="P178" s="24">
        <v>-2217</v>
      </c>
      <c r="Q178" s="4">
        <v>0</v>
      </c>
      <c r="R178" s="4">
        <v>124779</v>
      </c>
      <c r="S178" s="4">
        <v>0</v>
      </c>
      <c r="T178" s="4">
        <v>0</v>
      </c>
      <c r="U178" s="24">
        <v>0</v>
      </c>
      <c r="V178" s="4">
        <v>1524</v>
      </c>
      <c r="W178" s="14">
        <v>49298</v>
      </c>
      <c r="X178" s="2"/>
      <c r="Y178" s="5" t="s">
        <v>2</v>
      </c>
      <c r="Z178" s="5" t="s">
        <v>1321</v>
      </c>
      <c r="AA178" s="5" t="s">
        <v>824</v>
      </c>
      <c r="AB178" s="21" t="s">
        <v>2</v>
      </c>
      <c r="AC178" s="54" t="s">
        <v>4179</v>
      </c>
    </row>
    <row r="179" spans="2:29" x14ac:dyDescent="0.3">
      <c r="B179" s="18" t="s">
        <v>722</v>
      </c>
      <c r="C179" s="47" t="s">
        <v>3794</v>
      </c>
      <c r="D179" s="15" t="s">
        <v>419</v>
      </c>
      <c r="E179" s="55" t="s">
        <v>2</v>
      </c>
      <c r="F179" s="14">
        <v>44915</v>
      </c>
      <c r="G179" s="5" t="s">
        <v>2704</v>
      </c>
      <c r="H179" s="2"/>
      <c r="I179" s="4">
        <v>493533</v>
      </c>
      <c r="J179" s="4">
        <v>493533</v>
      </c>
      <c r="K179" s="4">
        <v>498777</v>
      </c>
      <c r="L179" s="4">
        <v>497626</v>
      </c>
      <c r="M179" s="4">
        <v>0</v>
      </c>
      <c r="N179" s="4">
        <v>-4093</v>
      </c>
      <c r="O179" s="4">
        <v>0</v>
      </c>
      <c r="P179" s="24">
        <v>-4093</v>
      </c>
      <c r="Q179" s="4">
        <v>0</v>
      </c>
      <c r="R179" s="4">
        <v>493533</v>
      </c>
      <c r="S179" s="4">
        <v>0</v>
      </c>
      <c r="T179" s="4">
        <v>0</v>
      </c>
      <c r="U179" s="24">
        <v>0</v>
      </c>
      <c r="V179" s="4">
        <v>6852</v>
      </c>
      <c r="W179" s="14">
        <v>49298</v>
      </c>
      <c r="X179" s="2"/>
      <c r="Y179" s="5" t="s">
        <v>2</v>
      </c>
      <c r="Z179" s="5" t="s">
        <v>1321</v>
      </c>
      <c r="AA179" s="5" t="s">
        <v>824</v>
      </c>
      <c r="AB179" s="21" t="s">
        <v>2</v>
      </c>
      <c r="AC179" s="54" t="s">
        <v>4179</v>
      </c>
    </row>
    <row r="180" spans="2:29" x14ac:dyDescent="0.3">
      <c r="B180" s="18" t="s">
        <v>2204</v>
      </c>
      <c r="C180" s="47" t="s">
        <v>3796</v>
      </c>
      <c r="D180" s="15" t="s">
        <v>3797</v>
      </c>
      <c r="E180" s="55" t="s">
        <v>2</v>
      </c>
      <c r="F180" s="14">
        <v>44915</v>
      </c>
      <c r="G180" s="5" t="s">
        <v>2704</v>
      </c>
      <c r="H180" s="2"/>
      <c r="I180" s="4">
        <v>722855</v>
      </c>
      <c r="J180" s="4">
        <v>722855</v>
      </c>
      <c r="K180" s="4">
        <v>722659</v>
      </c>
      <c r="L180" s="4">
        <v>722709</v>
      </c>
      <c r="M180" s="4">
        <v>0</v>
      </c>
      <c r="N180" s="4">
        <v>146</v>
      </c>
      <c r="O180" s="4">
        <v>0</v>
      </c>
      <c r="P180" s="24">
        <v>146</v>
      </c>
      <c r="Q180" s="4">
        <v>0</v>
      </c>
      <c r="R180" s="4">
        <v>722855</v>
      </c>
      <c r="S180" s="4">
        <v>0</v>
      </c>
      <c r="T180" s="4">
        <v>0</v>
      </c>
      <c r="U180" s="24">
        <v>0</v>
      </c>
      <c r="V180" s="4">
        <v>10677</v>
      </c>
      <c r="W180" s="14">
        <v>49999</v>
      </c>
      <c r="X180" s="2"/>
      <c r="Y180" s="5" t="s">
        <v>2</v>
      </c>
      <c r="Z180" s="5" t="s">
        <v>420</v>
      </c>
      <c r="AA180" s="5" t="s">
        <v>824</v>
      </c>
      <c r="AB180" s="21" t="s">
        <v>2</v>
      </c>
      <c r="AC180" s="54" t="s">
        <v>4179</v>
      </c>
    </row>
    <row r="181" spans="2:29" x14ac:dyDescent="0.3">
      <c r="B181" s="18" t="s">
        <v>3336</v>
      </c>
      <c r="C181" s="47" t="s">
        <v>3798</v>
      </c>
      <c r="D181" s="15" t="s">
        <v>3797</v>
      </c>
      <c r="E181" s="55" t="s">
        <v>2</v>
      </c>
      <c r="F181" s="14">
        <v>44915</v>
      </c>
      <c r="G181" s="5" t="s">
        <v>2704</v>
      </c>
      <c r="H181" s="2"/>
      <c r="I181" s="4">
        <v>361427</v>
      </c>
      <c r="J181" s="4">
        <v>361427</v>
      </c>
      <c r="K181" s="4">
        <v>361381</v>
      </c>
      <c r="L181" s="4">
        <v>361391</v>
      </c>
      <c r="M181" s="4">
        <v>0</v>
      </c>
      <c r="N181" s="4">
        <v>36</v>
      </c>
      <c r="O181" s="4">
        <v>0</v>
      </c>
      <c r="P181" s="24">
        <v>36</v>
      </c>
      <c r="Q181" s="4">
        <v>0</v>
      </c>
      <c r="R181" s="4">
        <v>361427</v>
      </c>
      <c r="S181" s="4">
        <v>0</v>
      </c>
      <c r="T181" s="4">
        <v>0</v>
      </c>
      <c r="U181" s="24">
        <v>0</v>
      </c>
      <c r="V181" s="4">
        <v>5926</v>
      </c>
      <c r="W181" s="14">
        <v>49999</v>
      </c>
      <c r="X181" s="2"/>
      <c r="Y181" s="5" t="s">
        <v>2</v>
      </c>
      <c r="Z181" s="5" t="s">
        <v>420</v>
      </c>
      <c r="AA181" s="5" t="s">
        <v>824</v>
      </c>
      <c r="AB181" s="21" t="s">
        <v>2</v>
      </c>
      <c r="AC181" s="54" t="s">
        <v>4179</v>
      </c>
    </row>
    <row r="182" spans="2:29" x14ac:dyDescent="0.3">
      <c r="B182" s="18" t="s">
        <v>4477</v>
      </c>
      <c r="C182" s="47" t="s">
        <v>2931</v>
      </c>
      <c r="D182" s="15" t="s">
        <v>3281</v>
      </c>
      <c r="E182" s="55" t="s">
        <v>2</v>
      </c>
      <c r="F182" s="14">
        <v>44915</v>
      </c>
      <c r="G182" s="5" t="s">
        <v>2704</v>
      </c>
      <c r="H182" s="2"/>
      <c r="I182" s="4">
        <v>1204626</v>
      </c>
      <c r="J182" s="4">
        <v>1204626</v>
      </c>
      <c r="K182" s="4">
        <v>1204366</v>
      </c>
      <c r="L182" s="4">
        <v>1204389</v>
      </c>
      <c r="M182" s="4">
        <v>0</v>
      </c>
      <c r="N182" s="4">
        <v>237</v>
      </c>
      <c r="O182" s="4">
        <v>0</v>
      </c>
      <c r="P182" s="24">
        <v>237</v>
      </c>
      <c r="Q182" s="4">
        <v>0</v>
      </c>
      <c r="R182" s="4">
        <v>1204626</v>
      </c>
      <c r="S182" s="4">
        <v>0</v>
      </c>
      <c r="T182" s="4">
        <v>0</v>
      </c>
      <c r="U182" s="24">
        <v>0</v>
      </c>
      <c r="V182" s="4">
        <v>9246</v>
      </c>
      <c r="W182" s="14">
        <v>51523</v>
      </c>
      <c r="X182" s="2"/>
      <c r="Y182" s="5" t="s">
        <v>2</v>
      </c>
      <c r="Z182" s="5" t="s">
        <v>673</v>
      </c>
      <c r="AA182" s="5" t="s">
        <v>824</v>
      </c>
      <c r="AB182" s="21" t="s">
        <v>2</v>
      </c>
      <c r="AC182" s="54" t="s">
        <v>4179</v>
      </c>
    </row>
    <row r="183" spans="2:29" x14ac:dyDescent="0.3">
      <c r="B183" s="18" t="s">
        <v>1081</v>
      </c>
      <c r="C183" s="47" t="s">
        <v>2932</v>
      </c>
      <c r="D183" s="15" t="s">
        <v>3281</v>
      </c>
      <c r="E183" s="55" t="s">
        <v>2</v>
      </c>
      <c r="F183" s="14">
        <v>44915</v>
      </c>
      <c r="G183" s="5" t="s">
        <v>2704</v>
      </c>
      <c r="H183" s="2"/>
      <c r="I183" s="4">
        <v>1204626</v>
      </c>
      <c r="J183" s="4">
        <v>1204626</v>
      </c>
      <c r="K183" s="4">
        <v>1204506</v>
      </c>
      <c r="L183" s="4">
        <v>1204518</v>
      </c>
      <c r="M183" s="4">
        <v>0</v>
      </c>
      <c r="N183" s="4">
        <v>108</v>
      </c>
      <c r="O183" s="4">
        <v>0</v>
      </c>
      <c r="P183" s="24">
        <v>108</v>
      </c>
      <c r="Q183" s="4">
        <v>0</v>
      </c>
      <c r="R183" s="4">
        <v>1204626</v>
      </c>
      <c r="S183" s="4">
        <v>0</v>
      </c>
      <c r="T183" s="4">
        <v>0</v>
      </c>
      <c r="U183" s="24">
        <v>0</v>
      </c>
      <c r="V183" s="4">
        <v>12456</v>
      </c>
      <c r="W183" s="14">
        <v>51523</v>
      </c>
      <c r="X183" s="2"/>
      <c r="Y183" s="5" t="s">
        <v>2</v>
      </c>
      <c r="Z183" s="5" t="s">
        <v>673</v>
      </c>
      <c r="AA183" s="5" t="s">
        <v>824</v>
      </c>
      <c r="AB183" s="21" t="s">
        <v>2</v>
      </c>
      <c r="AC183" s="54" t="s">
        <v>4179</v>
      </c>
    </row>
    <row r="184" spans="2:29" x14ac:dyDescent="0.3">
      <c r="B184" s="18" t="s">
        <v>2205</v>
      </c>
      <c r="C184" s="47" t="s">
        <v>2662</v>
      </c>
      <c r="D184" s="15" t="s">
        <v>1537</v>
      </c>
      <c r="E184" s="55" t="s">
        <v>2</v>
      </c>
      <c r="F184" s="14">
        <v>44915</v>
      </c>
      <c r="G184" s="5" t="s">
        <v>2704</v>
      </c>
      <c r="H184" s="2"/>
      <c r="I184" s="4">
        <v>3203483</v>
      </c>
      <c r="J184" s="4">
        <v>3203483</v>
      </c>
      <c r="K184" s="4">
        <v>3235001</v>
      </c>
      <c r="L184" s="4">
        <v>3229750</v>
      </c>
      <c r="M184" s="4">
        <v>0</v>
      </c>
      <c r="N184" s="4">
        <v>-26267</v>
      </c>
      <c r="O184" s="4">
        <v>0</v>
      </c>
      <c r="P184" s="24">
        <v>-26267</v>
      </c>
      <c r="Q184" s="4">
        <v>0</v>
      </c>
      <c r="R184" s="4">
        <v>3203483</v>
      </c>
      <c r="S184" s="4">
        <v>0</v>
      </c>
      <c r="T184" s="4">
        <v>0</v>
      </c>
      <c r="U184" s="24">
        <v>0</v>
      </c>
      <c r="V184" s="4">
        <v>34274</v>
      </c>
      <c r="W184" s="14">
        <v>50698</v>
      </c>
      <c r="X184" s="2"/>
      <c r="Y184" s="5" t="s">
        <v>2</v>
      </c>
      <c r="Z184" s="5" t="s">
        <v>4075</v>
      </c>
      <c r="AA184" s="5" t="s">
        <v>824</v>
      </c>
      <c r="AB184" s="21" t="s">
        <v>2</v>
      </c>
      <c r="AC184" s="54" t="s">
        <v>4179</v>
      </c>
    </row>
    <row r="185" spans="2:29" x14ac:dyDescent="0.3">
      <c r="B185" s="18" t="s">
        <v>3337</v>
      </c>
      <c r="C185" s="47" t="s">
        <v>2443</v>
      </c>
      <c r="D185" s="15" t="s">
        <v>1537</v>
      </c>
      <c r="E185" s="55" t="s">
        <v>2</v>
      </c>
      <c r="F185" s="14">
        <v>44915</v>
      </c>
      <c r="G185" s="5" t="s">
        <v>2704</v>
      </c>
      <c r="H185" s="2"/>
      <c r="I185" s="4">
        <v>394181</v>
      </c>
      <c r="J185" s="4">
        <v>394181</v>
      </c>
      <c r="K185" s="4">
        <v>394120</v>
      </c>
      <c r="L185" s="4">
        <v>394128</v>
      </c>
      <c r="M185" s="4">
        <v>0</v>
      </c>
      <c r="N185" s="4">
        <v>53</v>
      </c>
      <c r="O185" s="4">
        <v>0</v>
      </c>
      <c r="P185" s="24">
        <v>53</v>
      </c>
      <c r="Q185" s="4">
        <v>0</v>
      </c>
      <c r="R185" s="4">
        <v>394181</v>
      </c>
      <c r="S185" s="4">
        <v>0</v>
      </c>
      <c r="T185" s="4">
        <v>0</v>
      </c>
      <c r="U185" s="24">
        <v>0</v>
      </c>
      <c r="V185" s="4">
        <v>4635</v>
      </c>
      <c r="W185" s="14">
        <v>50698</v>
      </c>
      <c r="X185" s="2"/>
      <c r="Y185" s="5" t="s">
        <v>2</v>
      </c>
      <c r="Z185" s="5" t="s">
        <v>4075</v>
      </c>
      <c r="AA185" s="5" t="s">
        <v>824</v>
      </c>
      <c r="AB185" s="21" t="s">
        <v>2</v>
      </c>
      <c r="AC185" s="54" t="s">
        <v>4179</v>
      </c>
    </row>
    <row r="186" spans="2:29" x14ac:dyDescent="0.3">
      <c r="B186" s="18" t="s">
        <v>4478</v>
      </c>
      <c r="C186" s="47" t="s">
        <v>4076</v>
      </c>
      <c r="D186" s="15" t="s">
        <v>3800</v>
      </c>
      <c r="E186" s="55" t="s">
        <v>2</v>
      </c>
      <c r="F186" s="14">
        <v>44915</v>
      </c>
      <c r="G186" s="5" t="s">
        <v>2704</v>
      </c>
      <c r="H186" s="2"/>
      <c r="I186" s="4">
        <v>1598982</v>
      </c>
      <c r="J186" s="4">
        <v>1598982</v>
      </c>
      <c r="K186" s="4">
        <v>1598793</v>
      </c>
      <c r="L186" s="4">
        <v>1598827</v>
      </c>
      <c r="M186" s="4">
        <v>0</v>
      </c>
      <c r="N186" s="4">
        <v>155</v>
      </c>
      <c r="O186" s="4">
        <v>0</v>
      </c>
      <c r="P186" s="24">
        <v>155</v>
      </c>
      <c r="Q186" s="4">
        <v>0</v>
      </c>
      <c r="R186" s="4">
        <v>1598982</v>
      </c>
      <c r="S186" s="4">
        <v>0</v>
      </c>
      <c r="T186" s="4">
        <v>0</v>
      </c>
      <c r="U186" s="24">
        <v>0</v>
      </c>
      <c r="V186" s="4">
        <v>13147</v>
      </c>
      <c r="W186" s="14">
        <v>50333</v>
      </c>
      <c r="X186" s="2"/>
      <c r="Y186" s="5" t="s">
        <v>2</v>
      </c>
      <c r="Z186" s="5" t="s">
        <v>2933</v>
      </c>
      <c r="AA186" s="5" t="s">
        <v>824</v>
      </c>
      <c r="AB186" s="21" t="s">
        <v>2</v>
      </c>
      <c r="AC186" s="54" t="s">
        <v>4179</v>
      </c>
    </row>
    <row r="187" spans="2:29" x14ac:dyDescent="0.3">
      <c r="B187" s="18" t="s">
        <v>1082</v>
      </c>
      <c r="C187" s="47" t="s">
        <v>3801</v>
      </c>
      <c r="D187" s="15" t="s">
        <v>3800</v>
      </c>
      <c r="E187" s="55" t="s">
        <v>2</v>
      </c>
      <c r="F187" s="14">
        <v>44915</v>
      </c>
      <c r="G187" s="5" t="s">
        <v>2704</v>
      </c>
      <c r="H187" s="2"/>
      <c r="I187" s="4">
        <v>399746</v>
      </c>
      <c r="J187" s="4">
        <v>399746</v>
      </c>
      <c r="K187" s="4">
        <v>399690</v>
      </c>
      <c r="L187" s="4">
        <v>399700</v>
      </c>
      <c r="M187" s="4">
        <v>0</v>
      </c>
      <c r="N187" s="4">
        <v>46</v>
      </c>
      <c r="O187" s="4">
        <v>0</v>
      </c>
      <c r="P187" s="24">
        <v>46</v>
      </c>
      <c r="Q187" s="4">
        <v>0</v>
      </c>
      <c r="R187" s="4">
        <v>399746</v>
      </c>
      <c r="S187" s="4">
        <v>0</v>
      </c>
      <c r="T187" s="4">
        <v>0</v>
      </c>
      <c r="U187" s="24">
        <v>0</v>
      </c>
      <c r="V187" s="4">
        <v>5157</v>
      </c>
      <c r="W187" s="14">
        <v>50333</v>
      </c>
      <c r="X187" s="2"/>
      <c r="Y187" s="5" t="s">
        <v>2</v>
      </c>
      <c r="Z187" s="5" t="s">
        <v>2933</v>
      </c>
      <c r="AA187" s="5" t="s">
        <v>824</v>
      </c>
      <c r="AB187" s="21" t="s">
        <v>2</v>
      </c>
      <c r="AC187" s="54" t="s">
        <v>4179</v>
      </c>
    </row>
    <row r="188" spans="2:29" x14ac:dyDescent="0.3">
      <c r="B188" s="18" t="s">
        <v>2997</v>
      </c>
      <c r="C188" s="47" t="s">
        <v>3578</v>
      </c>
      <c r="D188" s="15" t="s">
        <v>3579</v>
      </c>
      <c r="E188" s="55" t="s">
        <v>2</v>
      </c>
      <c r="F188" s="14">
        <v>44915</v>
      </c>
      <c r="G188" s="5" t="s">
        <v>2704</v>
      </c>
      <c r="H188" s="2"/>
      <c r="I188" s="4">
        <v>3283167</v>
      </c>
      <c r="J188" s="4">
        <v>3283167</v>
      </c>
      <c r="K188" s="4">
        <v>3282590</v>
      </c>
      <c r="L188" s="4">
        <v>3282599</v>
      </c>
      <c r="M188" s="4">
        <v>0</v>
      </c>
      <c r="N188" s="4">
        <v>568</v>
      </c>
      <c r="O188" s="4">
        <v>0</v>
      </c>
      <c r="P188" s="24">
        <v>568</v>
      </c>
      <c r="Q188" s="4">
        <v>0</v>
      </c>
      <c r="R188" s="4">
        <v>3283167</v>
      </c>
      <c r="S188" s="4">
        <v>0</v>
      </c>
      <c r="T188" s="4">
        <v>0</v>
      </c>
      <c r="U188" s="24">
        <v>0</v>
      </c>
      <c r="V188" s="4">
        <v>29276</v>
      </c>
      <c r="W188" s="14">
        <v>50910</v>
      </c>
      <c r="X188" s="2"/>
      <c r="Y188" s="5" t="s">
        <v>2</v>
      </c>
      <c r="Z188" s="5" t="s">
        <v>1539</v>
      </c>
      <c r="AA188" s="5" t="s">
        <v>824</v>
      </c>
      <c r="AB188" s="21" t="s">
        <v>2</v>
      </c>
      <c r="AC188" s="54" t="s">
        <v>4179</v>
      </c>
    </row>
    <row r="189" spans="2:29" x14ac:dyDescent="0.3">
      <c r="B189" s="18" t="s">
        <v>4479</v>
      </c>
      <c r="C189" s="47" t="s">
        <v>4304</v>
      </c>
      <c r="D189" s="15" t="s">
        <v>2029</v>
      </c>
      <c r="E189" s="55" t="s">
        <v>2</v>
      </c>
      <c r="F189" s="14">
        <v>44747</v>
      </c>
      <c r="G189" s="5" t="s">
        <v>2224</v>
      </c>
      <c r="H189" s="2"/>
      <c r="I189" s="4">
        <v>406273</v>
      </c>
      <c r="J189" s="4">
        <v>406273</v>
      </c>
      <c r="K189" s="4">
        <v>406273</v>
      </c>
      <c r="L189" s="4">
        <v>396035</v>
      </c>
      <c r="M189" s="4">
        <v>10238</v>
      </c>
      <c r="N189" s="4">
        <v>0</v>
      </c>
      <c r="O189" s="4">
        <v>0</v>
      </c>
      <c r="P189" s="24">
        <v>10238</v>
      </c>
      <c r="Q189" s="4">
        <v>0</v>
      </c>
      <c r="R189" s="4">
        <v>406273</v>
      </c>
      <c r="S189" s="4">
        <v>0</v>
      </c>
      <c r="T189" s="4">
        <v>0</v>
      </c>
      <c r="U189" s="24">
        <v>0</v>
      </c>
      <c r="V189" s="4">
        <v>13544</v>
      </c>
      <c r="W189" s="14">
        <v>45930</v>
      </c>
      <c r="X189" s="2"/>
      <c r="Y189" s="5" t="s">
        <v>2</v>
      </c>
      <c r="Z189" s="5" t="s">
        <v>1723</v>
      </c>
      <c r="AA189" s="5" t="s">
        <v>1723</v>
      </c>
      <c r="AB189" s="21" t="s">
        <v>2</v>
      </c>
      <c r="AC189" s="54" t="s">
        <v>4179</v>
      </c>
    </row>
    <row r="190" spans="2:29" x14ac:dyDescent="0.3">
      <c r="B190" s="18" t="s">
        <v>1083</v>
      </c>
      <c r="C190" s="47" t="s">
        <v>1599</v>
      </c>
      <c r="D190" s="15" t="s">
        <v>1116</v>
      </c>
      <c r="E190" s="55" t="s">
        <v>2</v>
      </c>
      <c r="F190" s="14">
        <v>44743</v>
      </c>
      <c r="G190" s="5" t="s">
        <v>730</v>
      </c>
      <c r="H190" s="2"/>
      <c r="I190" s="4">
        <v>2000000</v>
      </c>
      <c r="J190" s="4">
        <v>2000000</v>
      </c>
      <c r="K190" s="4">
        <v>2103620</v>
      </c>
      <c r="L190" s="4">
        <v>2016636</v>
      </c>
      <c r="M190" s="4">
        <v>0</v>
      </c>
      <c r="N190" s="4">
        <v>-16636</v>
      </c>
      <c r="O190" s="4">
        <v>0</v>
      </c>
      <c r="P190" s="24">
        <v>-16636</v>
      </c>
      <c r="Q190" s="4">
        <v>0</v>
      </c>
      <c r="R190" s="4">
        <v>2000000</v>
      </c>
      <c r="S190" s="4">
        <v>0</v>
      </c>
      <c r="T190" s="4">
        <v>0</v>
      </c>
      <c r="U190" s="24">
        <v>0</v>
      </c>
      <c r="V190" s="4">
        <v>98000</v>
      </c>
      <c r="W190" s="14">
        <v>44743</v>
      </c>
      <c r="X190" s="2"/>
      <c r="Y190" s="5" t="s">
        <v>747</v>
      </c>
      <c r="Z190" s="5" t="s">
        <v>1884</v>
      </c>
      <c r="AA190" s="5" t="s">
        <v>233</v>
      </c>
      <c r="AB190" s="21" t="s">
        <v>2</v>
      </c>
      <c r="AC190" s="54" t="s">
        <v>4179</v>
      </c>
    </row>
    <row r="191" spans="2:29" x14ac:dyDescent="0.3">
      <c r="B191" s="18" t="s">
        <v>2206</v>
      </c>
      <c r="C191" s="47" t="s">
        <v>1600</v>
      </c>
      <c r="D191" s="15" t="s">
        <v>1244</v>
      </c>
      <c r="E191" s="55" t="s">
        <v>2</v>
      </c>
      <c r="F191" s="14">
        <v>44790</v>
      </c>
      <c r="G191" s="5" t="s">
        <v>1060</v>
      </c>
      <c r="H191" s="2"/>
      <c r="I191" s="4">
        <v>5542402</v>
      </c>
      <c r="J191" s="4">
        <v>5515000</v>
      </c>
      <c r="K191" s="4">
        <v>5574448</v>
      </c>
      <c r="L191" s="4">
        <v>5525232</v>
      </c>
      <c r="M191" s="4">
        <v>0</v>
      </c>
      <c r="N191" s="4">
        <v>-5078</v>
      </c>
      <c r="O191" s="4">
        <v>0</v>
      </c>
      <c r="P191" s="24">
        <v>-5078</v>
      </c>
      <c r="Q191" s="4">
        <v>0</v>
      </c>
      <c r="R191" s="4">
        <v>5520154</v>
      </c>
      <c r="S191" s="4">
        <v>0</v>
      </c>
      <c r="T191" s="4">
        <v>22248</v>
      </c>
      <c r="U191" s="24">
        <v>22248</v>
      </c>
      <c r="V191" s="4">
        <v>125858</v>
      </c>
      <c r="W191" s="14">
        <v>44999</v>
      </c>
      <c r="X191" s="2"/>
      <c r="Y191" s="5" t="s">
        <v>1724</v>
      </c>
      <c r="Z191" s="5" t="s">
        <v>1244</v>
      </c>
      <c r="AA191" s="5" t="s">
        <v>2</v>
      </c>
      <c r="AB191" s="21" t="s">
        <v>2</v>
      </c>
      <c r="AC191" s="54" t="s">
        <v>4179</v>
      </c>
    </row>
    <row r="192" spans="2:29" x14ac:dyDescent="0.3">
      <c r="B192" s="18" t="s">
        <v>3339</v>
      </c>
      <c r="C192" s="47" t="s">
        <v>748</v>
      </c>
      <c r="D192" s="15" t="s">
        <v>1885</v>
      </c>
      <c r="E192" s="55" t="s">
        <v>2</v>
      </c>
      <c r="F192" s="14">
        <v>44866</v>
      </c>
      <c r="G192" s="5" t="s">
        <v>2695</v>
      </c>
      <c r="H192" s="2"/>
      <c r="I192" s="4">
        <v>1986480</v>
      </c>
      <c r="J192" s="4">
        <v>2000000</v>
      </c>
      <c r="K192" s="4">
        <v>1998727</v>
      </c>
      <c r="L192" s="4">
        <v>1998775</v>
      </c>
      <c r="M192" s="4">
        <v>0</v>
      </c>
      <c r="N192" s="4">
        <v>688</v>
      </c>
      <c r="O192" s="4">
        <v>0</v>
      </c>
      <c r="P192" s="24">
        <v>688</v>
      </c>
      <c r="Q192" s="4">
        <v>0</v>
      </c>
      <c r="R192" s="4">
        <v>1999463</v>
      </c>
      <c r="S192" s="4">
        <v>0</v>
      </c>
      <c r="T192" s="4">
        <v>-12983</v>
      </c>
      <c r="U192" s="24">
        <v>-12983</v>
      </c>
      <c r="V192" s="4">
        <v>72567</v>
      </c>
      <c r="W192" s="14">
        <v>45099</v>
      </c>
      <c r="X192" s="2"/>
      <c r="Y192" s="5" t="s">
        <v>2720</v>
      </c>
      <c r="Z192" s="5" t="s">
        <v>1886</v>
      </c>
      <c r="AA192" s="5" t="s">
        <v>2</v>
      </c>
      <c r="AB192" s="21" t="s">
        <v>2</v>
      </c>
      <c r="AC192" s="54" t="s">
        <v>4179</v>
      </c>
    </row>
    <row r="193" spans="2:29" x14ac:dyDescent="0.3">
      <c r="B193" s="18" t="s">
        <v>4480</v>
      </c>
      <c r="C193" s="47" t="s">
        <v>3171</v>
      </c>
      <c r="D193" s="15" t="s">
        <v>4307</v>
      </c>
      <c r="E193" s="55" t="s">
        <v>2</v>
      </c>
      <c r="F193" s="14">
        <v>44767</v>
      </c>
      <c r="G193" s="5" t="s">
        <v>4454</v>
      </c>
      <c r="H193" s="2"/>
      <c r="I193" s="4">
        <v>2956650</v>
      </c>
      <c r="J193" s="4">
        <v>3000000</v>
      </c>
      <c r="K193" s="4">
        <v>2870340</v>
      </c>
      <c r="L193" s="4">
        <v>2937141</v>
      </c>
      <c r="M193" s="4">
        <v>0</v>
      </c>
      <c r="N193" s="4">
        <v>13160</v>
      </c>
      <c r="O193" s="4">
        <v>0</v>
      </c>
      <c r="P193" s="24">
        <v>13160</v>
      </c>
      <c r="Q193" s="4">
        <v>0</v>
      </c>
      <c r="R193" s="4">
        <v>2950301</v>
      </c>
      <c r="S193" s="4">
        <v>0</v>
      </c>
      <c r="T193" s="4">
        <v>6349</v>
      </c>
      <c r="U193" s="24">
        <v>6349</v>
      </c>
      <c r="V193" s="4">
        <v>89775</v>
      </c>
      <c r="W193" s="14">
        <v>45519</v>
      </c>
      <c r="X193" s="2"/>
      <c r="Y193" s="5" t="s">
        <v>2840</v>
      </c>
      <c r="Z193" s="5" t="s">
        <v>4307</v>
      </c>
      <c r="AA193" s="5" t="s">
        <v>2</v>
      </c>
      <c r="AB193" s="21" t="s">
        <v>2</v>
      </c>
      <c r="AC193" s="54" t="s">
        <v>4179</v>
      </c>
    </row>
    <row r="194" spans="2:29" x14ac:dyDescent="0.3">
      <c r="B194" s="18" t="s">
        <v>1085</v>
      </c>
      <c r="C194" s="47" t="s">
        <v>749</v>
      </c>
      <c r="D194" s="15" t="s">
        <v>1887</v>
      </c>
      <c r="E194" s="55" t="s">
        <v>2</v>
      </c>
      <c r="F194" s="14">
        <v>44816</v>
      </c>
      <c r="G194" s="5" t="s">
        <v>1060</v>
      </c>
      <c r="H194" s="2"/>
      <c r="I194" s="4">
        <v>9974838</v>
      </c>
      <c r="J194" s="4">
        <v>10000000</v>
      </c>
      <c r="K194" s="4">
        <v>9893611</v>
      </c>
      <c r="L194" s="4">
        <v>9953330</v>
      </c>
      <c r="M194" s="4">
        <v>0</v>
      </c>
      <c r="N194" s="4">
        <v>12688</v>
      </c>
      <c r="O194" s="4">
        <v>0</v>
      </c>
      <c r="P194" s="24">
        <v>12688</v>
      </c>
      <c r="Q194" s="4">
        <v>0</v>
      </c>
      <c r="R194" s="4">
        <v>9966017</v>
      </c>
      <c r="S194" s="4">
        <v>0</v>
      </c>
      <c r="T194" s="4">
        <v>8821</v>
      </c>
      <c r="U194" s="24">
        <v>8821</v>
      </c>
      <c r="V194" s="4">
        <v>343810</v>
      </c>
      <c r="W194" s="14">
        <v>45366</v>
      </c>
      <c r="X194" s="2"/>
      <c r="Y194" s="5" t="s">
        <v>2</v>
      </c>
      <c r="Z194" s="5" t="s">
        <v>3024</v>
      </c>
      <c r="AA194" s="5" t="s">
        <v>2</v>
      </c>
      <c r="AB194" s="21" t="s">
        <v>2</v>
      </c>
      <c r="AC194" s="54" t="s">
        <v>4179</v>
      </c>
    </row>
    <row r="195" spans="2:29" x14ac:dyDescent="0.3">
      <c r="B195" s="18" t="s">
        <v>2207</v>
      </c>
      <c r="C195" s="47" t="s">
        <v>3368</v>
      </c>
      <c r="D195" s="15" t="s">
        <v>750</v>
      </c>
      <c r="E195" s="55" t="s">
        <v>2</v>
      </c>
      <c r="F195" s="14">
        <v>44713</v>
      </c>
      <c r="G195" s="5" t="s">
        <v>2506</v>
      </c>
      <c r="H195" s="2"/>
      <c r="I195" s="4">
        <v>3558520</v>
      </c>
      <c r="J195" s="4">
        <v>3500000</v>
      </c>
      <c r="K195" s="4">
        <v>3477320</v>
      </c>
      <c r="L195" s="4">
        <v>3488545</v>
      </c>
      <c r="M195" s="4">
        <v>0</v>
      </c>
      <c r="N195" s="4">
        <v>1416</v>
      </c>
      <c r="O195" s="4">
        <v>0</v>
      </c>
      <c r="P195" s="24">
        <v>1416</v>
      </c>
      <c r="Q195" s="4">
        <v>0</v>
      </c>
      <c r="R195" s="4">
        <v>3489962</v>
      </c>
      <c r="S195" s="4">
        <v>0</v>
      </c>
      <c r="T195" s="4">
        <v>10038</v>
      </c>
      <c r="U195" s="24">
        <v>10038</v>
      </c>
      <c r="V195" s="4">
        <v>145631</v>
      </c>
      <c r="W195" s="14">
        <v>45731</v>
      </c>
      <c r="X195" s="2"/>
      <c r="Y195" s="5" t="s">
        <v>1381</v>
      </c>
      <c r="Z195" s="5" t="s">
        <v>4507</v>
      </c>
      <c r="AA195" s="5" t="s">
        <v>2</v>
      </c>
      <c r="AB195" s="21" t="s">
        <v>2</v>
      </c>
      <c r="AC195" s="54" t="s">
        <v>4179</v>
      </c>
    </row>
    <row r="196" spans="2:29" x14ac:dyDescent="0.3">
      <c r="B196" s="18" t="s">
        <v>3340</v>
      </c>
      <c r="C196" s="47" t="s">
        <v>4154</v>
      </c>
      <c r="D196" s="15" t="s">
        <v>4155</v>
      </c>
      <c r="E196" s="55" t="s">
        <v>2</v>
      </c>
      <c r="F196" s="14">
        <v>44662</v>
      </c>
      <c r="G196" s="5" t="s">
        <v>1373</v>
      </c>
      <c r="H196" s="2"/>
      <c r="I196" s="4">
        <v>1004860</v>
      </c>
      <c r="J196" s="4">
        <v>1000000</v>
      </c>
      <c r="K196" s="4">
        <v>986140</v>
      </c>
      <c r="L196" s="4">
        <v>992346</v>
      </c>
      <c r="M196" s="4">
        <v>0</v>
      </c>
      <c r="N196" s="4">
        <v>531</v>
      </c>
      <c r="O196" s="4">
        <v>0</v>
      </c>
      <c r="P196" s="24">
        <v>531</v>
      </c>
      <c r="Q196" s="4">
        <v>0</v>
      </c>
      <c r="R196" s="4">
        <v>992877</v>
      </c>
      <c r="S196" s="4">
        <v>0</v>
      </c>
      <c r="T196" s="4">
        <v>11983</v>
      </c>
      <c r="U196" s="24">
        <v>11983</v>
      </c>
      <c r="V196" s="4">
        <v>13889</v>
      </c>
      <c r="W196" s="14">
        <v>45964</v>
      </c>
      <c r="X196" s="2"/>
      <c r="Y196" s="5" t="s">
        <v>3491</v>
      </c>
      <c r="Z196" s="5" t="s">
        <v>919</v>
      </c>
      <c r="AA196" s="5" t="s">
        <v>2227</v>
      </c>
      <c r="AB196" s="21" t="s">
        <v>2</v>
      </c>
      <c r="AC196" s="54" t="s">
        <v>4179</v>
      </c>
    </row>
    <row r="197" spans="2:29" x14ac:dyDescent="0.3">
      <c r="B197" s="18" t="s">
        <v>4482</v>
      </c>
      <c r="C197" s="47" t="s">
        <v>2228</v>
      </c>
      <c r="D197" s="15" t="s">
        <v>4155</v>
      </c>
      <c r="E197" s="55" t="s">
        <v>2</v>
      </c>
      <c r="F197" s="14">
        <v>44642</v>
      </c>
      <c r="G197" s="5" t="s">
        <v>2482</v>
      </c>
      <c r="H197" s="2"/>
      <c r="I197" s="4">
        <v>7014770</v>
      </c>
      <c r="J197" s="4">
        <v>7000000</v>
      </c>
      <c r="K197" s="4">
        <v>6979070</v>
      </c>
      <c r="L197" s="4">
        <v>6994942</v>
      </c>
      <c r="M197" s="4">
        <v>0</v>
      </c>
      <c r="N197" s="4">
        <v>718</v>
      </c>
      <c r="O197" s="4">
        <v>0</v>
      </c>
      <c r="P197" s="24">
        <v>718</v>
      </c>
      <c r="Q197" s="4">
        <v>0</v>
      </c>
      <c r="R197" s="4">
        <v>6995660</v>
      </c>
      <c r="S197" s="4">
        <v>0</v>
      </c>
      <c r="T197" s="4">
        <v>19110</v>
      </c>
      <c r="U197" s="24">
        <v>19110</v>
      </c>
      <c r="V197" s="4">
        <v>87889</v>
      </c>
      <c r="W197" s="14">
        <v>45146</v>
      </c>
      <c r="X197" s="2"/>
      <c r="Y197" s="5" t="s">
        <v>3491</v>
      </c>
      <c r="Z197" s="5" t="s">
        <v>919</v>
      </c>
      <c r="AA197" s="5" t="s">
        <v>2227</v>
      </c>
      <c r="AB197" s="21" t="s">
        <v>2</v>
      </c>
      <c r="AC197" s="54" t="s">
        <v>4179</v>
      </c>
    </row>
    <row r="198" spans="2:29" x14ac:dyDescent="0.3">
      <c r="B198" s="18" t="s">
        <v>2208</v>
      </c>
      <c r="C198" s="47" t="s">
        <v>1117</v>
      </c>
      <c r="D198" s="15" t="s">
        <v>579</v>
      </c>
      <c r="E198" s="55" t="s">
        <v>2</v>
      </c>
      <c r="F198" s="14">
        <v>44652</v>
      </c>
      <c r="G198" s="5" t="s">
        <v>730</v>
      </c>
      <c r="H198" s="2"/>
      <c r="I198" s="4">
        <v>9000000</v>
      </c>
      <c r="J198" s="4">
        <v>9000000</v>
      </c>
      <c r="K198" s="4">
        <v>9056250</v>
      </c>
      <c r="L198" s="4">
        <v>9006007</v>
      </c>
      <c r="M198" s="4">
        <v>0</v>
      </c>
      <c r="N198" s="4">
        <v>-6007</v>
      </c>
      <c r="O198" s="4">
        <v>0</v>
      </c>
      <c r="P198" s="24">
        <v>-6007</v>
      </c>
      <c r="Q198" s="4">
        <v>0</v>
      </c>
      <c r="R198" s="4">
        <v>9000000</v>
      </c>
      <c r="S198" s="4">
        <v>0</v>
      </c>
      <c r="T198" s="4">
        <v>0</v>
      </c>
      <c r="U198" s="24">
        <v>0</v>
      </c>
      <c r="V198" s="4">
        <v>163125</v>
      </c>
      <c r="W198" s="14">
        <v>44652</v>
      </c>
      <c r="X198" s="2"/>
      <c r="Y198" s="5" t="s">
        <v>2</v>
      </c>
      <c r="Z198" s="5" t="s">
        <v>580</v>
      </c>
      <c r="AA198" s="5" t="s">
        <v>824</v>
      </c>
      <c r="AB198" s="21" t="s">
        <v>2</v>
      </c>
      <c r="AC198" s="54" t="s">
        <v>4179</v>
      </c>
    </row>
    <row r="199" spans="2:29" x14ac:dyDescent="0.3">
      <c r="B199" s="18" t="s">
        <v>3341</v>
      </c>
      <c r="C199" s="47" t="s">
        <v>3369</v>
      </c>
      <c r="D199" s="15" t="s">
        <v>751</v>
      </c>
      <c r="E199" s="55" t="s">
        <v>2</v>
      </c>
      <c r="F199" s="14">
        <v>44760</v>
      </c>
      <c r="G199" s="5" t="s">
        <v>1060</v>
      </c>
      <c r="H199" s="2"/>
      <c r="I199" s="4">
        <v>5003350</v>
      </c>
      <c r="J199" s="4">
        <v>5000000</v>
      </c>
      <c r="K199" s="4">
        <v>5003075</v>
      </c>
      <c r="L199" s="4">
        <v>5001266</v>
      </c>
      <c r="M199" s="4">
        <v>0</v>
      </c>
      <c r="N199" s="4">
        <v>-655</v>
      </c>
      <c r="O199" s="4">
        <v>0</v>
      </c>
      <c r="P199" s="24">
        <v>-655</v>
      </c>
      <c r="Q199" s="4">
        <v>0</v>
      </c>
      <c r="R199" s="4">
        <v>5000612</v>
      </c>
      <c r="S199" s="4">
        <v>0</v>
      </c>
      <c r="T199" s="4">
        <v>2738</v>
      </c>
      <c r="U199" s="24">
        <v>2738</v>
      </c>
      <c r="V199" s="4">
        <v>154948</v>
      </c>
      <c r="W199" s="14">
        <v>44949</v>
      </c>
      <c r="X199" s="2"/>
      <c r="Y199" s="5" t="s">
        <v>921</v>
      </c>
      <c r="Z199" s="5" t="s">
        <v>920</v>
      </c>
      <c r="AA199" s="5" t="s">
        <v>2</v>
      </c>
      <c r="AB199" s="21" t="s">
        <v>2</v>
      </c>
      <c r="AC199" s="54" t="s">
        <v>4179</v>
      </c>
    </row>
    <row r="200" spans="2:29" x14ac:dyDescent="0.3">
      <c r="B200" s="18" t="s">
        <v>4483</v>
      </c>
      <c r="C200" s="47" t="s">
        <v>752</v>
      </c>
      <c r="D200" s="15" t="s">
        <v>3370</v>
      </c>
      <c r="E200" s="55" t="s">
        <v>2</v>
      </c>
      <c r="F200" s="14">
        <v>44880</v>
      </c>
      <c r="G200" s="5" t="s">
        <v>1060</v>
      </c>
      <c r="H200" s="2"/>
      <c r="I200" s="4">
        <v>5390000</v>
      </c>
      <c r="J200" s="4">
        <v>5390000</v>
      </c>
      <c r="K200" s="4">
        <v>5371418</v>
      </c>
      <c r="L200" s="4">
        <v>5386604</v>
      </c>
      <c r="M200" s="4">
        <v>0</v>
      </c>
      <c r="N200" s="4">
        <v>3396</v>
      </c>
      <c r="O200" s="4">
        <v>0</v>
      </c>
      <c r="P200" s="24">
        <v>3396</v>
      </c>
      <c r="Q200" s="4">
        <v>0</v>
      </c>
      <c r="R200" s="4">
        <v>5390000</v>
      </c>
      <c r="S200" s="4">
        <v>0</v>
      </c>
      <c r="T200" s="4">
        <v>0</v>
      </c>
      <c r="U200" s="24">
        <v>0</v>
      </c>
      <c r="V200" s="4">
        <v>175175</v>
      </c>
      <c r="W200" s="14">
        <v>44880</v>
      </c>
      <c r="X200" s="2"/>
      <c r="Y200" s="5" t="s">
        <v>2507</v>
      </c>
      <c r="Z200" s="5" t="s">
        <v>2508</v>
      </c>
      <c r="AA200" s="5" t="s">
        <v>2</v>
      </c>
      <c r="AB200" s="21" t="s">
        <v>2</v>
      </c>
      <c r="AC200" s="54" t="s">
        <v>4179</v>
      </c>
    </row>
    <row r="201" spans="2:29" x14ac:dyDescent="0.3">
      <c r="B201" s="18" t="s">
        <v>1086</v>
      </c>
      <c r="C201" s="47" t="s">
        <v>923</v>
      </c>
      <c r="D201" s="15" t="s">
        <v>3025</v>
      </c>
      <c r="E201" s="55" t="s">
        <v>2</v>
      </c>
      <c r="F201" s="14">
        <v>44849</v>
      </c>
      <c r="G201" s="5" t="s">
        <v>2224</v>
      </c>
      <c r="H201" s="2"/>
      <c r="I201" s="4">
        <v>326748</v>
      </c>
      <c r="J201" s="4">
        <v>326748</v>
      </c>
      <c r="K201" s="4">
        <v>326748</v>
      </c>
      <c r="L201" s="4">
        <v>326748</v>
      </c>
      <c r="M201" s="4">
        <v>0</v>
      </c>
      <c r="N201" s="4">
        <v>0</v>
      </c>
      <c r="O201" s="4">
        <v>0</v>
      </c>
      <c r="P201" s="24">
        <v>0</v>
      </c>
      <c r="Q201" s="4">
        <v>0</v>
      </c>
      <c r="R201" s="4">
        <v>326748</v>
      </c>
      <c r="S201" s="4">
        <v>0</v>
      </c>
      <c r="T201" s="4">
        <v>0</v>
      </c>
      <c r="U201" s="24">
        <v>0</v>
      </c>
      <c r="V201" s="4">
        <v>6705</v>
      </c>
      <c r="W201" s="14">
        <v>47953</v>
      </c>
      <c r="X201" s="2"/>
      <c r="Y201" s="5" t="s">
        <v>2</v>
      </c>
      <c r="Z201" s="5" t="s">
        <v>586</v>
      </c>
      <c r="AA201" s="5" t="s">
        <v>2</v>
      </c>
      <c r="AB201" s="21" t="s">
        <v>2</v>
      </c>
      <c r="AC201" s="54" t="s">
        <v>4179</v>
      </c>
    </row>
    <row r="202" spans="2:29" x14ac:dyDescent="0.3">
      <c r="B202" s="18" t="s">
        <v>2209</v>
      </c>
      <c r="C202" s="47" t="s">
        <v>2666</v>
      </c>
      <c r="D202" s="15" t="s">
        <v>1022</v>
      </c>
      <c r="E202" s="55" t="s">
        <v>2</v>
      </c>
      <c r="F202" s="14">
        <v>44915</v>
      </c>
      <c r="G202" s="5" t="s">
        <v>2704</v>
      </c>
      <c r="H202" s="2"/>
      <c r="I202" s="4">
        <v>244460</v>
      </c>
      <c r="J202" s="4">
        <v>244460</v>
      </c>
      <c r="K202" s="4">
        <v>244458</v>
      </c>
      <c r="L202" s="4">
        <v>244454</v>
      </c>
      <c r="M202" s="4">
        <v>0</v>
      </c>
      <c r="N202" s="4">
        <v>6</v>
      </c>
      <c r="O202" s="4">
        <v>0</v>
      </c>
      <c r="P202" s="24">
        <v>6</v>
      </c>
      <c r="Q202" s="4">
        <v>0</v>
      </c>
      <c r="R202" s="4">
        <v>244460</v>
      </c>
      <c r="S202" s="4">
        <v>0</v>
      </c>
      <c r="T202" s="4">
        <v>0</v>
      </c>
      <c r="U202" s="24">
        <v>0</v>
      </c>
      <c r="V202" s="4">
        <v>4348</v>
      </c>
      <c r="W202" s="14">
        <v>53986</v>
      </c>
      <c r="X202" s="2"/>
      <c r="Y202" s="5" t="s">
        <v>2</v>
      </c>
      <c r="Z202" s="5" t="s">
        <v>2145</v>
      </c>
      <c r="AA202" s="5" t="s">
        <v>824</v>
      </c>
      <c r="AB202" s="21" t="s">
        <v>2</v>
      </c>
      <c r="AC202" s="54" t="s">
        <v>4179</v>
      </c>
    </row>
    <row r="203" spans="2:29" x14ac:dyDescent="0.3">
      <c r="B203" s="18" t="s">
        <v>3342</v>
      </c>
      <c r="C203" s="47" t="s">
        <v>4314</v>
      </c>
      <c r="D203" s="15" t="s">
        <v>587</v>
      </c>
      <c r="E203" s="55" t="s">
        <v>2</v>
      </c>
      <c r="F203" s="14">
        <v>44849</v>
      </c>
      <c r="G203" s="5" t="s">
        <v>2224</v>
      </c>
      <c r="H203" s="2"/>
      <c r="I203" s="4">
        <v>1351571</v>
      </c>
      <c r="J203" s="4">
        <v>1351571</v>
      </c>
      <c r="K203" s="4">
        <v>1473388</v>
      </c>
      <c r="L203" s="4">
        <v>1395353</v>
      </c>
      <c r="M203" s="4">
        <v>0</v>
      </c>
      <c r="N203" s="4">
        <v>-43783</v>
      </c>
      <c r="O203" s="4">
        <v>0</v>
      </c>
      <c r="P203" s="24">
        <v>-43783</v>
      </c>
      <c r="Q203" s="4">
        <v>0</v>
      </c>
      <c r="R203" s="4">
        <v>1351571</v>
      </c>
      <c r="S203" s="4">
        <v>0</v>
      </c>
      <c r="T203" s="4">
        <v>0</v>
      </c>
      <c r="U203" s="24">
        <v>0</v>
      </c>
      <c r="V203" s="4">
        <v>57027</v>
      </c>
      <c r="W203" s="14">
        <v>45382</v>
      </c>
      <c r="X203" s="2"/>
      <c r="Y203" s="5" t="s">
        <v>2</v>
      </c>
      <c r="Z203" s="5" t="s">
        <v>587</v>
      </c>
      <c r="AA203" s="5" t="s">
        <v>2</v>
      </c>
      <c r="AB203" s="21" t="s">
        <v>2</v>
      </c>
      <c r="AC203" s="54" t="s">
        <v>4179</v>
      </c>
    </row>
    <row r="204" spans="2:29" x14ac:dyDescent="0.3">
      <c r="B204" s="18" t="s">
        <v>4484</v>
      </c>
      <c r="C204" s="47" t="s">
        <v>2035</v>
      </c>
      <c r="D204" s="15" t="s">
        <v>2850</v>
      </c>
      <c r="E204" s="55" t="s">
        <v>2</v>
      </c>
      <c r="F204" s="14">
        <v>44762</v>
      </c>
      <c r="G204" s="5" t="s">
        <v>2721</v>
      </c>
      <c r="H204" s="2"/>
      <c r="I204" s="4">
        <v>5009940</v>
      </c>
      <c r="J204" s="4">
        <v>5000000</v>
      </c>
      <c r="K204" s="4">
        <v>5050000</v>
      </c>
      <c r="L204" s="4">
        <v>5008841</v>
      </c>
      <c r="M204" s="4">
        <v>0</v>
      </c>
      <c r="N204" s="4">
        <v>-2098</v>
      </c>
      <c r="O204" s="4">
        <v>0</v>
      </c>
      <c r="P204" s="24">
        <v>-2098</v>
      </c>
      <c r="Q204" s="4">
        <v>0</v>
      </c>
      <c r="R204" s="4">
        <v>5006743</v>
      </c>
      <c r="S204" s="4">
        <v>0</v>
      </c>
      <c r="T204" s="4">
        <v>3197</v>
      </c>
      <c r="U204" s="24">
        <v>3197</v>
      </c>
      <c r="V204" s="4">
        <v>145313</v>
      </c>
      <c r="W204" s="14">
        <v>44986</v>
      </c>
      <c r="X204" s="2"/>
      <c r="Y204" s="5" t="s">
        <v>91</v>
      </c>
      <c r="Z204" s="5" t="s">
        <v>1736</v>
      </c>
      <c r="AA204" s="5" t="s">
        <v>2596</v>
      </c>
      <c r="AB204" s="21" t="s">
        <v>2</v>
      </c>
      <c r="AC204" s="54" t="s">
        <v>4179</v>
      </c>
    </row>
    <row r="205" spans="2:29" x14ac:dyDescent="0.3">
      <c r="B205" s="18" t="s">
        <v>1088</v>
      </c>
      <c r="C205" s="47" t="s">
        <v>2035</v>
      </c>
      <c r="D205" s="15" t="s">
        <v>2850</v>
      </c>
      <c r="E205" s="55" t="s">
        <v>2</v>
      </c>
      <c r="F205" s="14">
        <v>44890</v>
      </c>
      <c r="G205" s="5" t="s">
        <v>466</v>
      </c>
      <c r="H205" s="2"/>
      <c r="I205" s="4">
        <v>1200000</v>
      </c>
      <c r="J205" s="4">
        <v>1200000</v>
      </c>
      <c r="K205" s="4">
        <v>1179099</v>
      </c>
      <c r="L205" s="4">
        <v>1194081</v>
      </c>
      <c r="M205" s="4">
        <v>0</v>
      </c>
      <c r="N205" s="4">
        <v>4546</v>
      </c>
      <c r="O205" s="4">
        <v>0</v>
      </c>
      <c r="P205" s="24">
        <v>4546</v>
      </c>
      <c r="Q205" s="4">
        <v>0</v>
      </c>
      <c r="R205" s="4">
        <v>1198627</v>
      </c>
      <c r="S205" s="4">
        <v>0</v>
      </c>
      <c r="T205" s="4">
        <v>1373</v>
      </c>
      <c r="U205" s="24">
        <v>1373</v>
      </c>
      <c r="V205" s="4">
        <v>55500</v>
      </c>
      <c r="W205" s="14">
        <v>44986</v>
      </c>
      <c r="X205" s="2"/>
      <c r="Y205" s="5" t="s">
        <v>91</v>
      </c>
      <c r="Z205" s="5" t="s">
        <v>1736</v>
      </c>
      <c r="AA205" s="5" t="s">
        <v>2596</v>
      </c>
      <c r="AB205" s="21" t="s">
        <v>2</v>
      </c>
      <c r="AC205" s="54" t="s">
        <v>4179</v>
      </c>
    </row>
    <row r="206" spans="2:29" x14ac:dyDescent="0.3">
      <c r="B206" s="18" t="s">
        <v>2485</v>
      </c>
      <c r="C206" s="47" t="s">
        <v>4508</v>
      </c>
      <c r="D206" s="15" t="s">
        <v>345</v>
      </c>
      <c r="E206" s="55" t="s">
        <v>2</v>
      </c>
      <c r="F206" s="14">
        <v>44672</v>
      </c>
      <c r="G206" s="5" t="s">
        <v>3313</v>
      </c>
      <c r="H206" s="2"/>
      <c r="I206" s="4">
        <v>2993820</v>
      </c>
      <c r="J206" s="4">
        <v>3000000</v>
      </c>
      <c r="K206" s="4">
        <v>2994150</v>
      </c>
      <c r="L206" s="4">
        <v>2998117</v>
      </c>
      <c r="M206" s="4">
        <v>0</v>
      </c>
      <c r="N206" s="4">
        <v>277</v>
      </c>
      <c r="O206" s="4">
        <v>0</v>
      </c>
      <c r="P206" s="24">
        <v>277</v>
      </c>
      <c r="Q206" s="4">
        <v>0</v>
      </c>
      <c r="R206" s="4">
        <v>2998394</v>
      </c>
      <c r="S206" s="4">
        <v>0</v>
      </c>
      <c r="T206" s="4">
        <v>-4574</v>
      </c>
      <c r="U206" s="24">
        <v>-4574</v>
      </c>
      <c r="V206" s="4">
        <v>63425</v>
      </c>
      <c r="W206" s="14">
        <v>45329</v>
      </c>
      <c r="X206" s="2"/>
      <c r="Y206" s="5" t="s">
        <v>92</v>
      </c>
      <c r="Z206" s="5" t="s">
        <v>2036</v>
      </c>
      <c r="AA206" s="5" t="s">
        <v>2379</v>
      </c>
      <c r="AB206" s="21" t="s">
        <v>2</v>
      </c>
      <c r="AC206" s="54" t="s">
        <v>4179</v>
      </c>
    </row>
    <row r="207" spans="2:29" x14ac:dyDescent="0.3">
      <c r="B207" s="18" t="s">
        <v>3608</v>
      </c>
      <c r="C207" s="47" t="s">
        <v>2229</v>
      </c>
      <c r="D207" s="15" t="s">
        <v>1382</v>
      </c>
      <c r="E207" s="55" t="s">
        <v>2</v>
      </c>
      <c r="F207" s="14">
        <v>44670</v>
      </c>
      <c r="G207" s="5" t="s">
        <v>200</v>
      </c>
      <c r="H207" s="2"/>
      <c r="I207" s="4">
        <v>1001250</v>
      </c>
      <c r="J207" s="4">
        <v>1000000</v>
      </c>
      <c r="K207" s="4">
        <v>1000000</v>
      </c>
      <c r="L207" s="4">
        <v>1000000</v>
      </c>
      <c r="M207" s="4">
        <v>0</v>
      </c>
      <c r="N207" s="4">
        <v>0</v>
      </c>
      <c r="O207" s="4">
        <v>0</v>
      </c>
      <c r="P207" s="24">
        <v>0</v>
      </c>
      <c r="Q207" s="4">
        <v>0</v>
      </c>
      <c r="R207" s="4">
        <v>1000000</v>
      </c>
      <c r="S207" s="4">
        <v>0</v>
      </c>
      <c r="T207" s="4">
        <v>1250</v>
      </c>
      <c r="U207" s="24">
        <v>1250</v>
      </c>
      <c r="V207" s="4">
        <v>7593</v>
      </c>
      <c r="W207" s="14">
        <v>45863</v>
      </c>
      <c r="X207" s="2"/>
      <c r="Y207" s="5" t="s">
        <v>2</v>
      </c>
      <c r="Z207" s="5" t="s">
        <v>234</v>
      </c>
      <c r="AA207" s="5" t="s">
        <v>824</v>
      </c>
      <c r="AB207" s="21" t="s">
        <v>2</v>
      </c>
      <c r="AC207" s="54" t="s">
        <v>4179</v>
      </c>
    </row>
    <row r="208" spans="2:29" x14ac:dyDescent="0.3">
      <c r="B208" s="18" t="s">
        <v>1089</v>
      </c>
      <c r="C208" s="47" t="s">
        <v>484</v>
      </c>
      <c r="D208" s="15" t="s">
        <v>3628</v>
      </c>
      <c r="E208" s="55" t="s">
        <v>2</v>
      </c>
      <c r="F208" s="14">
        <v>44635</v>
      </c>
      <c r="G208" s="5" t="s">
        <v>3874</v>
      </c>
      <c r="H208" s="2"/>
      <c r="I208" s="4">
        <v>5101418</v>
      </c>
      <c r="J208" s="4">
        <v>5000000</v>
      </c>
      <c r="K208" s="4">
        <v>5076050</v>
      </c>
      <c r="L208" s="4">
        <v>5013334</v>
      </c>
      <c r="M208" s="4">
        <v>0</v>
      </c>
      <c r="N208" s="4">
        <v>-2840</v>
      </c>
      <c r="O208" s="4">
        <v>0</v>
      </c>
      <c r="P208" s="24">
        <v>-2840</v>
      </c>
      <c r="Q208" s="4">
        <v>0</v>
      </c>
      <c r="R208" s="4">
        <v>5010494</v>
      </c>
      <c r="S208" s="4">
        <v>0</v>
      </c>
      <c r="T208" s="4">
        <v>-10494</v>
      </c>
      <c r="U208" s="24">
        <v>-10494</v>
      </c>
      <c r="V208" s="4">
        <v>152668</v>
      </c>
      <c r="W208" s="14">
        <v>44910</v>
      </c>
      <c r="X208" s="2"/>
      <c r="Y208" s="5" t="s">
        <v>2</v>
      </c>
      <c r="Z208" s="5" t="s">
        <v>3629</v>
      </c>
      <c r="AA208" s="5" t="s">
        <v>1888</v>
      </c>
      <c r="AB208" s="21" t="s">
        <v>2</v>
      </c>
      <c r="AC208" s="54" t="s">
        <v>4179</v>
      </c>
    </row>
    <row r="209" spans="2:29" x14ac:dyDescent="0.3">
      <c r="B209" s="18" t="s">
        <v>2210</v>
      </c>
      <c r="C209" s="47" t="s">
        <v>235</v>
      </c>
      <c r="D209" s="15" t="s">
        <v>3371</v>
      </c>
      <c r="E209" s="55" t="s">
        <v>2</v>
      </c>
      <c r="F209" s="14">
        <v>44650</v>
      </c>
      <c r="G209" s="5" t="s">
        <v>3313</v>
      </c>
      <c r="H209" s="2"/>
      <c r="I209" s="4">
        <v>5004150</v>
      </c>
      <c r="J209" s="4">
        <v>5000000</v>
      </c>
      <c r="K209" s="4">
        <v>4904450</v>
      </c>
      <c r="L209" s="4">
        <v>4981705</v>
      </c>
      <c r="M209" s="4">
        <v>0</v>
      </c>
      <c r="N209" s="4">
        <v>7196</v>
      </c>
      <c r="O209" s="4">
        <v>0</v>
      </c>
      <c r="P209" s="24">
        <v>7196</v>
      </c>
      <c r="Q209" s="4">
        <v>0</v>
      </c>
      <c r="R209" s="4">
        <v>4988901</v>
      </c>
      <c r="S209" s="4">
        <v>0</v>
      </c>
      <c r="T209" s="4">
        <v>15249</v>
      </c>
      <c r="U209" s="24">
        <v>15249</v>
      </c>
      <c r="V209" s="4">
        <v>67486</v>
      </c>
      <c r="W209" s="14">
        <v>44788</v>
      </c>
      <c r="X209" s="2"/>
      <c r="Y209" s="5" t="s">
        <v>4156</v>
      </c>
      <c r="Z209" s="5" t="s">
        <v>485</v>
      </c>
      <c r="AA209" s="5" t="s">
        <v>3026</v>
      </c>
      <c r="AB209" s="21" t="s">
        <v>2</v>
      </c>
      <c r="AC209" s="54" t="s">
        <v>4179</v>
      </c>
    </row>
    <row r="210" spans="2:29" x14ac:dyDescent="0.3">
      <c r="B210" s="18" t="s">
        <v>3344</v>
      </c>
      <c r="C210" s="47" t="s">
        <v>3804</v>
      </c>
      <c r="D210" s="15" t="s">
        <v>2938</v>
      </c>
      <c r="E210" s="55" t="s">
        <v>2</v>
      </c>
      <c r="F210" s="14">
        <v>44903</v>
      </c>
      <c r="G210" s="5" t="s">
        <v>2704</v>
      </c>
      <c r="H210" s="2"/>
      <c r="I210" s="4">
        <v>940983</v>
      </c>
      <c r="J210" s="4">
        <v>940983</v>
      </c>
      <c r="K210" s="4">
        <v>917973</v>
      </c>
      <c r="L210" s="4">
        <v>928374</v>
      </c>
      <c r="M210" s="4">
        <v>0</v>
      </c>
      <c r="N210" s="4">
        <v>12610</v>
      </c>
      <c r="O210" s="4">
        <v>0</v>
      </c>
      <c r="P210" s="24">
        <v>12610</v>
      </c>
      <c r="Q210" s="4">
        <v>0</v>
      </c>
      <c r="R210" s="4">
        <v>940983</v>
      </c>
      <c r="S210" s="4">
        <v>0</v>
      </c>
      <c r="T210" s="4">
        <v>0</v>
      </c>
      <c r="U210" s="24">
        <v>0</v>
      </c>
      <c r="V210" s="4">
        <v>12545</v>
      </c>
      <c r="W210" s="14">
        <v>47185</v>
      </c>
      <c r="X210" s="2"/>
      <c r="Y210" s="5" t="s">
        <v>2</v>
      </c>
      <c r="Z210" s="5" t="s">
        <v>3282</v>
      </c>
      <c r="AA210" s="5" t="s">
        <v>824</v>
      </c>
      <c r="AB210" s="21" t="s">
        <v>2</v>
      </c>
      <c r="AC210" s="54" t="s">
        <v>4179</v>
      </c>
    </row>
    <row r="211" spans="2:29" x14ac:dyDescent="0.3">
      <c r="B211" s="18" t="s">
        <v>4485</v>
      </c>
      <c r="C211" s="47" t="s">
        <v>3805</v>
      </c>
      <c r="D211" s="15" t="s">
        <v>2938</v>
      </c>
      <c r="E211" s="55" t="s">
        <v>2</v>
      </c>
      <c r="F211" s="14">
        <v>44903</v>
      </c>
      <c r="G211" s="5" t="s">
        <v>2704</v>
      </c>
      <c r="H211" s="2"/>
      <c r="I211" s="4">
        <v>510155</v>
      </c>
      <c r="J211" s="4">
        <v>510155</v>
      </c>
      <c r="K211" s="4">
        <v>506648</v>
      </c>
      <c r="L211" s="4">
        <v>507483</v>
      </c>
      <c r="M211" s="4">
        <v>0</v>
      </c>
      <c r="N211" s="4">
        <v>2672</v>
      </c>
      <c r="O211" s="4">
        <v>0</v>
      </c>
      <c r="P211" s="24">
        <v>2672</v>
      </c>
      <c r="Q211" s="4">
        <v>0</v>
      </c>
      <c r="R211" s="4">
        <v>510155</v>
      </c>
      <c r="S211" s="4">
        <v>0</v>
      </c>
      <c r="T211" s="4">
        <v>0</v>
      </c>
      <c r="U211" s="24">
        <v>0</v>
      </c>
      <c r="V211" s="4">
        <v>7583</v>
      </c>
      <c r="W211" s="14">
        <v>47185</v>
      </c>
      <c r="X211" s="2"/>
      <c r="Y211" s="5" t="s">
        <v>2</v>
      </c>
      <c r="Z211" s="5" t="s">
        <v>3282</v>
      </c>
      <c r="AA211" s="5" t="s">
        <v>824</v>
      </c>
      <c r="AB211" s="21" t="s">
        <v>2</v>
      </c>
      <c r="AC211" s="54" t="s">
        <v>4179</v>
      </c>
    </row>
    <row r="212" spans="2:29" x14ac:dyDescent="0.3">
      <c r="B212" s="18" t="s">
        <v>1090</v>
      </c>
      <c r="C212" s="47" t="s">
        <v>1322</v>
      </c>
      <c r="D212" s="15" t="s">
        <v>2938</v>
      </c>
      <c r="E212" s="55" t="s">
        <v>2</v>
      </c>
      <c r="F212" s="14">
        <v>44904</v>
      </c>
      <c r="G212" s="5" t="s">
        <v>2704</v>
      </c>
      <c r="H212" s="2"/>
      <c r="I212" s="4">
        <v>701136</v>
      </c>
      <c r="J212" s="4">
        <v>701136</v>
      </c>
      <c r="K212" s="4">
        <v>701041</v>
      </c>
      <c r="L212" s="4">
        <v>701058</v>
      </c>
      <c r="M212" s="4">
        <v>0</v>
      </c>
      <c r="N212" s="4">
        <v>78</v>
      </c>
      <c r="O212" s="4">
        <v>0</v>
      </c>
      <c r="P212" s="24">
        <v>78</v>
      </c>
      <c r="Q212" s="4">
        <v>0</v>
      </c>
      <c r="R212" s="4">
        <v>701136</v>
      </c>
      <c r="S212" s="4">
        <v>0</v>
      </c>
      <c r="T212" s="4">
        <v>0</v>
      </c>
      <c r="U212" s="24">
        <v>0</v>
      </c>
      <c r="V212" s="4">
        <v>12085</v>
      </c>
      <c r="W212" s="14">
        <v>50504</v>
      </c>
      <c r="X212" s="2"/>
      <c r="Y212" s="5" t="s">
        <v>2</v>
      </c>
      <c r="Z212" s="5" t="s">
        <v>3282</v>
      </c>
      <c r="AA212" s="5" t="s">
        <v>824</v>
      </c>
      <c r="AB212" s="21" t="s">
        <v>2</v>
      </c>
      <c r="AC212" s="54" t="s">
        <v>4179</v>
      </c>
    </row>
    <row r="213" spans="2:29" x14ac:dyDescent="0.3">
      <c r="B213" s="18" t="s">
        <v>2211</v>
      </c>
      <c r="C213" s="47" t="s">
        <v>2146</v>
      </c>
      <c r="D213" s="15" t="s">
        <v>1544</v>
      </c>
      <c r="E213" s="55" t="s">
        <v>2</v>
      </c>
      <c r="F213" s="14">
        <v>44910</v>
      </c>
      <c r="G213" s="5" t="s">
        <v>2704</v>
      </c>
      <c r="H213" s="2"/>
      <c r="I213" s="4">
        <v>871775</v>
      </c>
      <c r="J213" s="4">
        <v>871775</v>
      </c>
      <c r="K213" s="4">
        <v>871775</v>
      </c>
      <c r="L213" s="4">
        <v>871775</v>
      </c>
      <c r="M213" s="4">
        <v>0</v>
      </c>
      <c r="N213" s="4">
        <v>0</v>
      </c>
      <c r="O213" s="4">
        <v>0</v>
      </c>
      <c r="P213" s="24">
        <v>0</v>
      </c>
      <c r="Q213" s="4">
        <v>0</v>
      </c>
      <c r="R213" s="4">
        <v>871775</v>
      </c>
      <c r="S213" s="4">
        <v>0</v>
      </c>
      <c r="T213" s="4">
        <v>0</v>
      </c>
      <c r="U213" s="24">
        <v>0</v>
      </c>
      <c r="V213" s="4">
        <v>20736</v>
      </c>
      <c r="W213" s="14">
        <v>46433</v>
      </c>
      <c r="X213" s="2"/>
      <c r="Y213" s="5" t="s">
        <v>2</v>
      </c>
      <c r="Z213" s="5" t="s">
        <v>1545</v>
      </c>
      <c r="AA213" s="5" t="s">
        <v>824</v>
      </c>
      <c r="AB213" s="21" t="s">
        <v>2</v>
      </c>
      <c r="AC213" s="54" t="s">
        <v>4179</v>
      </c>
    </row>
    <row r="214" spans="2:29" x14ac:dyDescent="0.3">
      <c r="B214" s="18" t="s">
        <v>3345</v>
      </c>
      <c r="C214" s="47" t="s">
        <v>3372</v>
      </c>
      <c r="D214" s="15" t="s">
        <v>2380</v>
      </c>
      <c r="E214" s="55" t="s">
        <v>2</v>
      </c>
      <c r="F214" s="14">
        <v>44866</v>
      </c>
      <c r="G214" s="5" t="s">
        <v>1581</v>
      </c>
      <c r="H214" s="2"/>
      <c r="I214" s="4">
        <v>4962500</v>
      </c>
      <c r="J214" s="4">
        <v>5000000</v>
      </c>
      <c r="K214" s="4">
        <v>4994300</v>
      </c>
      <c r="L214" s="4">
        <v>4998260</v>
      </c>
      <c r="M214" s="4">
        <v>0</v>
      </c>
      <c r="N214" s="4">
        <v>1006</v>
      </c>
      <c r="O214" s="4">
        <v>0</v>
      </c>
      <c r="P214" s="24">
        <v>1006</v>
      </c>
      <c r="Q214" s="4">
        <v>0</v>
      </c>
      <c r="R214" s="4">
        <v>4999266</v>
      </c>
      <c r="S214" s="4">
        <v>0</v>
      </c>
      <c r="T214" s="4">
        <v>-36766</v>
      </c>
      <c r="U214" s="24">
        <v>-36766</v>
      </c>
      <c r="V214" s="4">
        <v>157986</v>
      </c>
      <c r="W214" s="14">
        <v>45085</v>
      </c>
      <c r="X214" s="2"/>
      <c r="Y214" s="5" t="s">
        <v>3985</v>
      </c>
      <c r="Z214" s="5" t="s">
        <v>2380</v>
      </c>
      <c r="AA214" s="5" t="s">
        <v>2</v>
      </c>
      <c r="AB214" s="21" t="s">
        <v>2</v>
      </c>
      <c r="AC214" s="54" t="s">
        <v>4179</v>
      </c>
    </row>
    <row r="215" spans="2:29" x14ac:dyDescent="0.3">
      <c r="B215" s="18" t="s">
        <v>211</v>
      </c>
      <c r="C215" s="47" t="s">
        <v>1889</v>
      </c>
      <c r="D215" s="15" t="s">
        <v>1890</v>
      </c>
      <c r="E215" s="55" t="s">
        <v>2</v>
      </c>
      <c r="F215" s="14">
        <v>44775</v>
      </c>
      <c r="G215" s="5" t="s">
        <v>1581</v>
      </c>
      <c r="H215" s="2"/>
      <c r="I215" s="4">
        <v>1484835</v>
      </c>
      <c r="J215" s="4">
        <v>1500000</v>
      </c>
      <c r="K215" s="4">
        <v>1422780</v>
      </c>
      <c r="L215" s="4">
        <v>1454302</v>
      </c>
      <c r="M215" s="4">
        <v>0</v>
      </c>
      <c r="N215" s="4">
        <v>5720</v>
      </c>
      <c r="O215" s="4">
        <v>0</v>
      </c>
      <c r="P215" s="24">
        <v>5720</v>
      </c>
      <c r="Q215" s="4">
        <v>0</v>
      </c>
      <c r="R215" s="4">
        <v>1460022</v>
      </c>
      <c r="S215" s="4">
        <v>0</v>
      </c>
      <c r="T215" s="4">
        <v>24813</v>
      </c>
      <c r="U215" s="24">
        <v>24813</v>
      </c>
      <c r="V215" s="4">
        <v>27615</v>
      </c>
      <c r="W215" s="14">
        <v>46176</v>
      </c>
      <c r="X215" s="2"/>
      <c r="Y215" s="5" t="s">
        <v>486</v>
      </c>
      <c r="Z215" s="5" t="s">
        <v>2230</v>
      </c>
      <c r="AA215" s="5" t="s">
        <v>2</v>
      </c>
      <c r="AB215" s="21" t="s">
        <v>2</v>
      </c>
      <c r="AC215" s="54" t="s">
        <v>4179</v>
      </c>
    </row>
    <row r="216" spans="2:29" x14ac:dyDescent="0.3">
      <c r="B216" s="18" t="s">
        <v>1358</v>
      </c>
      <c r="C216" s="47" t="s">
        <v>487</v>
      </c>
      <c r="D216" s="15" t="s">
        <v>3373</v>
      </c>
      <c r="E216" s="55" t="s">
        <v>2</v>
      </c>
      <c r="F216" s="14">
        <v>44672</v>
      </c>
      <c r="G216" s="5" t="s">
        <v>1060</v>
      </c>
      <c r="H216" s="2"/>
      <c r="I216" s="4">
        <v>7053060</v>
      </c>
      <c r="J216" s="4">
        <v>7000000</v>
      </c>
      <c r="K216" s="4">
        <v>7041730</v>
      </c>
      <c r="L216" s="4">
        <v>7016300</v>
      </c>
      <c r="M216" s="4">
        <v>0</v>
      </c>
      <c r="N216" s="4">
        <v>-3161</v>
      </c>
      <c r="O216" s="4">
        <v>0</v>
      </c>
      <c r="P216" s="24">
        <v>-3161</v>
      </c>
      <c r="Q216" s="4">
        <v>0</v>
      </c>
      <c r="R216" s="4">
        <v>7013139</v>
      </c>
      <c r="S216" s="4">
        <v>0</v>
      </c>
      <c r="T216" s="4">
        <v>39921</v>
      </c>
      <c r="U216" s="24">
        <v>39921</v>
      </c>
      <c r="V216" s="4">
        <v>136889</v>
      </c>
      <c r="W216" s="14">
        <v>45184</v>
      </c>
      <c r="X216" s="2"/>
      <c r="Y216" s="5" t="s">
        <v>486</v>
      </c>
      <c r="Z216" s="5" t="s">
        <v>2230</v>
      </c>
      <c r="AA216" s="5" t="s">
        <v>2</v>
      </c>
      <c r="AB216" s="21" t="s">
        <v>2</v>
      </c>
      <c r="AC216" s="54" t="s">
        <v>4179</v>
      </c>
    </row>
    <row r="217" spans="2:29" x14ac:dyDescent="0.3">
      <c r="B217" s="18" t="s">
        <v>2509</v>
      </c>
      <c r="C217" s="47" t="s">
        <v>3027</v>
      </c>
      <c r="D217" s="15" t="s">
        <v>753</v>
      </c>
      <c r="E217" s="55" t="s">
        <v>2</v>
      </c>
      <c r="F217" s="14">
        <v>44757</v>
      </c>
      <c r="G217" s="5" t="s">
        <v>730</v>
      </c>
      <c r="H217" s="2"/>
      <c r="I217" s="4">
        <v>4000000</v>
      </c>
      <c r="J217" s="4">
        <v>4000000</v>
      </c>
      <c r="K217" s="4">
        <v>3995200</v>
      </c>
      <c r="L217" s="4">
        <v>3999242</v>
      </c>
      <c r="M217" s="4">
        <v>0</v>
      </c>
      <c r="N217" s="4">
        <v>758</v>
      </c>
      <c r="O217" s="4">
        <v>0</v>
      </c>
      <c r="P217" s="24">
        <v>758</v>
      </c>
      <c r="Q217" s="4">
        <v>0</v>
      </c>
      <c r="R217" s="4">
        <v>4000000</v>
      </c>
      <c r="S217" s="4">
        <v>0</v>
      </c>
      <c r="T217" s="4">
        <v>0</v>
      </c>
      <c r="U217" s="24">
        <v>0</v>
      </c>
      <c r="V217" s="4">
        <v>158000</v>
      </c>
      <c r="W217" s="14">
        <v>44757</v>
      </c>
      <c r="X217" s="2"/>
      <c r="Y217" s="5" t="s">
        <v>2231</v>
      </c>
      <c r="Z217" s="5" t="s">
        <v>754</v>
      </c>
      <c r="AA217" s="5" t="s">
        <v>3028</v>
      </c>
      <c r="AB217" s="21" t="s">
        <v>2</v>
      </c>
      <c r="AC217" s="54" t="s">
        <v>4179</v>
      </c>
    </row>
    <row r="218" spans="2:29" x14ac:dyDescent="0.3">
      <c r="B218" s="18" t="s">
        <v>4509</v>
      </c>
      <c r="C218" s="47" t="s">
        <v>1479</v>
      </c>
      <c r="D218" s="15" t="s">
        <v>3988</v>
      </c>
      <c r="E218" s="55" t="s">
        <v>2</v>
      </c>
      <c r="F218" s="14">
        <v>44817</v>
      </c>
      <c r="G218" s="5" t="s">
        <v>2224</v>
      </c>
      <c r="H218" s="2"/>
      <c r="I218" s="4">
        <v>444469</v>
      </c>
      <c r="J218" s="4">
        <v>444469</v>
      </c>
      <c r="K218" s="4">
        <v>456113</v>
      </c>
      <c r="L218" s="4">
        <v>450667</v>
      </c>
      <c r="M218" s="4">
        <v>0</v>
      </c>
      <c r="N218" s="4">
        <v>-6198</v>
      </c>
      <c r="O218" s="4">
        <v>0</v>
      </c>
      <c r="P218" s="24">
        <v>-6198</v>
      </c>
      <c r="Q218" s="4">
        <v>0</v>
      </c>
      <c r="R218" s="4">
        <v>444469</v>
      </c>
      <c r="S218" s="4">
        <v>0</v>
      </c>
      <c r="T218" s="4">
        <v>0</v>
      </c>
      <c r="U218" s="24">
        <v>0</v>
      </c>
      <c r="V218" s="4">
        <v>10001</v>
      </c>
      <c r="W218" s="14">
        <v>46643</v>
      </c>
      <c r="X218" s="2"/>
      <c r="Y218" s="5" t="s">
        <v>2</v>
      </c>
      <c r="Z218" s="5" t="s">
        <v>2052</v>
      </c>
      <c r="AA218" s="5" t="s">
        <v>3989</v>
      </c>
      <c r="AB218" s="21" t="s">
        <v>2</v>
      </c>
      <c r="AC218" s="54" t="s">
        <v>4179</v>
      </c>
    </row>
    <row r="219" spans="2:29" x14ac:dyDescent="0.3">
      <c r="B219" s="18" t="s">
        <v>1118</v>
      </c>
      <c r="C219" s="47" t="s">
        <v>4510</v>
      </c>
      <c r="D219" s="15" t="s">
        <v>1383</v>
      </c>
      <c r="E219" s="55" t="s">
        <v>2</v>
      </c>
      <c r="F219" s="14">
        <v>44913</v>
      </c>
      <c r="G219" s="5" t="s">
        <v>730</v>
      </c>
      <c r="H219" s="2"/>
      <c r="I219" s="4">
        <v>5000000</v>
      </c>
      <c r="J219" s="4">
        <v>5000000</v>
      </c>
      <c r="K219" s="4">
        <v>5000000</v>
      </c>
      <c r="L219" s="4">
        <v>5000000</v>
      </c>
      <c r="M219" s="4">
        <v>0</v>
      </c>
      <c r="N219" s="4">
        <v>0</v>
      </c>
      <c r="O219" s="4">
        <v>0</v>
      </c>
      <c r="P219" s="24">
        <v>0</v>
      </c>
      <c r="Q219" s="4">
        <v>0</v>
      </c>
      <c r="R219" s="4">
        <v>5000000</v>
      </c>
      <c r="S219" s="4">
        <v>0</v>
      </c>
      <c r="T219" s="4">
        <v>0</v>
      </c>
      <c r="U219" s="24">
        <v>0</v>
      </c>
      <c r="V219" s="4">
        <v>145000</v>
      </c>
      <c r="W219" s="14">
        <v>44913</v>
      </c>
      <c r="X219" s="2"/>
      <c r="Y219" s="5" t="s">
        <v>2</v>
      </c>
      <c r="Z219" s="5" t="s">
        <v>1383</v>
      </c>
      <c r="AA219" s="5" t="s">
        <v>2</v>
      </c>
      <c r="AB219" s="21" t="s">
        <v>2</v>
      </c>
      <c r="AC219" s="54" t="s">
        <v>4179</v>
      </c>
    </row>
    <row r="220" spans="2:29" x14ac:dyDescent="0.3">
      <c r="B220" s="18" t="s">
        <v>2232</v>
      </c>
      <c r="C220" s="47" t="s">
        <v>2510</v>
      </c>
      <c r="D220" s="15" t="s">
        <v>1384</v>
      </c>
      <c r="E220" s="55" t="s">
        <v>2</v>
      </c>
      <c r="F220" s="14">
        <v>44662</v>
      </c>
      <c r="G220" s="5" t="s">
        <v>1060</v>
      </c>
      <c r="H220" s="2"/>
      <c r="I220" s="4">
        <v>5025950</v>
      </c>
      <c r="J220" s="4">
        <v>5000000</v>
      </c>
      <c r="K220" s="4">
        <v>4981800</v>
      </c>
      <c r="L220" s="4">
        <v>4994583</v>
      </c>
      <c r="M220" s="4">
        <v>0</v>
      </c>
      <c r="N220" s="4">
        <v>1255</v>
      </c>
      <c r="O220" s="4">
        <v>0</v>
      </c>
      <c r="P220" s="24">
        <v>1255</v>
      </c>
      <c r="Q220" s="4">
        <v>0</v>
      </c>
      <c r="R220" s="4">
        <v>4995839</v>
      </c>
      <c r="S220" s="4">
        <v>0</v>
      </c>
      <c r="T220" s="4">
        <v>30111</v>
      </c>
      <c r="U220" s="24">
        <v>30111</v>
      </c>
      <c r="V220" s="4">
        <v>79444</v>
      </c>
      <c r="W220" s="14">
        <v>45000</v>
      </c>
      <c r="X220" s="2"/>
      <c r="Y220" s="5" t="s">
        <v>1745</v>
      </c>
      <c r="Z220" s="5" t="s">
        <v>2601</v>
      </c>
      <c r="AA220" s="5" t="s">
        <v>2</v>
      </c>
      <c r="AB220" s="21" t="s">
        <v>2</v>
      </c>
      <c r="AC220" s="54" t="s">
        <v>4179</v>
      </c>
    </row>
    <row r="221" spans="2:29" x14ac:dyDescent="0.3">
      <c r="B221" s="18" t="s">
        <v>3374</v>
      </c>
      <c r="C221" s="47" t="s">
        <v>4157</v>
      </c>
      <c r="D221" s="15" t="s">
        <v>1891</v>
      </c>
      <c r="E221" s="55" t="s">
        <v>2</v>
      </c>
      <c r="F221" s="14">
        <v>44895</v>
      </c>
      <c r="G221" s="5" t="s">
        <v>4454</v>
      </c>
      <c r="H221" s="2"/>
      <c r="I221" s="4">
        <v>3593750</v>
      </c>
      <c r="J221" s="4">
        <v>4900000</v>
      </c>
      <c r="K221" s="4">
        <v>4861800</v>
      </c>
      <c r="L221" s="4">
        <v>4870771</v>
      </c>
      <c r="M221" s="4">
        <v>0</v>
      </c>
      <c r="N221" s="4">
        <v>4609</v>
      </c>
      <c r="O221" s="4">
        <v>0</v>
      </c>
      <c r="P221" s="24">
        <v>4609</v>
      </c>
      <c r="Q221" s="4">
        <v>0</v>
      </c>
      <c r="R221" s="4">
        <v>4875379</v>
      </c>
      <c r="S221" s="4">
        <v>0</v>
      </c>
      <c r="T221" s="4">
        <v>-1281629</v>
      </c>
      <c r="U221" s="24">
        <v>-1281629</v>
      </c>
      <c r="V221" s="4">
        <v>298630</v>
      </c>
      <c r="W221" s="14">
        <v>46433</v>
      </c>
      <c r="X221" s="2"/>
      <c r="Y221" s="5" t="s">
        <v>236</v>
      </c>
      <c r="Z221" s="5" t="s">
        <v>4158</v>
      </c>
      <c r="AA221" s="5" t="s">
        <v>2</v>
      </c>
      <c r="AB221" s="21" t="s">
        <v>2</v>
      </c>
      <c r="AC221" s="54" t="s">
        <v>4179</v>
      </c>
    </row>
    <row r="222" spans="2:29" x14ac:dyDescent="0.3">
      <c r="B222" s="18" t="s">
        <v>4511</v>
      </c>
      <c r="C222" s="47" t="s">
        <v>2722</v>
      </c>
      <c r="D222" s="15" t="s">
        <v>4512</v>
      </c>
      <c r="E222" s="55" t="s">
        <v>2</v>
      </c>
      <c r="F222" s="14">
        <v>44648</v>
      </c>
      <c r="G222" s="5" t="s">
        <v>2185</v>
      </c>
      <c r="H222" s="2"/>
      <c r="I222" s="4">
        <v>5023200</v>
      </c>
      <c r="J222" s="4">
        <v>5000000</v>
      </c>
      <c r="K222" s="4">
        <v>4739450</v>
      </c>
      <c r="L222" s="4">
        <v>4887242</v>
      </c>
      <c r="M222" s="4">
        <v>0</v>
      </c>
      <c r="N222" s="4">
        <v>11216</v>
      </c>
      <c r="O222" s="4">
        <v>0</v>
      </c>
      <c r="P222" s="24">
        <v>11216</v>
      </c>
      <c r="Q222" s="4">
        <v>0</v>
      </c>
      <c r="R222" s="4">
        <v>4898457</v>
      </c>
      <c r="S222" s="4">
        <v>0</v>
      </c>
      <c r="T222" s="4">
        <v>124743</v>
      </c>
      <c r="U222" s="24">
        <v>124743</v>
      </c>
      <c r="V222" s="4">
        <v>52361</v>
      </c>
      <c r="W222" s="14">
        <v>45432</v>
      </c>
      <c r="X222" s="2"/>
      <c r="Y222" s="5" t="s">
        <v>3875</v>
      </c>
      <c r="Z222" s="5" t="s">
        <v>3375</v>
      </c>
      <c r="AA222" s="5" t="s">
        <v>3029</v>
      </c>
      <c r="AB222" s="21" t="s">
        <v>2</v>
      </c>
      <c r="AC222" s="54" t="s">
        <v>4179</v>
      </c>
    </row>
    <row r="223" spans="2:29" x14ac:dyDescent="0.3">
      <c r="B223" s="18" t="s">
        <v>1385</v>
      </c>
      <c r="C223" s="47" t="s">
        <v>1119</v>
      </c>
      <c r="D223" s="15" t="s">
        <v>4513</v>
      </c>
      <c r="E223" s="55" t="s">
        <v>2</v>
      </c>
      <c r="F223" s="14">
        <v>44754</v>
      </c>
      <c r="G223" s="5" t="s">
        <v>1058</v>
      </c>
      <c r="H223" s="2"/>
      <c r="I223" s="4">
        <v>1999400</v>
      </c>
      <c r="J223" s="4">
        <v>2000000</v>
      </c>
      <c r="K223" s="4">
        <v>2004240</v>
      </c>
      <c r="L223" s="4">
        <v>2000886</v>
      </c>
      <c r="M223" s="4">
        <v>0</v>
      </c>
      <c r="N223" s="4">
        <v>-747</v>
      </c>
      <c r="O223" s="4">
        <v>0</v>
      </c>
      <c r="P223" s="24">
        <v>-747</v>
      </c>
      <c r="Q223" s="4">
        <v>0</v>
      </c>
      <c r="R223" s="4">
        <v>2000138</v>
      </c>
      <c r="S223" s="4">
        <v>0</v>
      </c>
      <c r="T223" s="4">
        <v>-738</v>
      </c>
      <c r="U223" s="24">
        <v>-738</v>
      </c>
      <c r="V223" s="4">
        <v>45808</v>
      </c>
      <c r="W223" s="14">
        <v>44880</v>
      </c>
      <c r="X223" s="2"/>
      <c r="Y223" s="5" t="s">
        <v>3030</v>
      </c>
      <c r="Z223" s="5" t="s">
        <v>3630</v>
      </c>
      <c r="AA223" s="5" t="s">
        <v>3630</v>
      </c>
      <c r="AB223" s="21" t="s">
        <v>2</v>
      </c>
      <c r="AC223" s="54" t="s">
        <v>4179</v>
      </c>
    </row>
    <row r="224" spans="2:29" x14ac:dyDescent="0.3">
      <c r="B224" s="18" t="s">
        <v>2511</v>
      </c>
      <c r="C224" s="47" t="s">
        <v>2512</v>
      </c>
      <c r="D224" s="15" t="s">
        <v>3031</v>
      </c>
      <c r="E224" s="55" t="s">
        <v>2</v>
      </c>
      <c r="F224" s="14">
        <v>44867</v>
      </c>
      <c r="G224" s="5" t="s">
        <v>4454</v>
      </c>
      <c r="H224" s="2"/>
      <c r="I224" s="4">
        <v>1973780</v>
      </c>
      <c r="J224" s="4">
        <v>2000000</v>
      </c>
      <c r="K224" s="4">
        <v>1996760</v>
      </c>
      <c r="L224" s="4">
        <v>1998851</v>
      </c>
      <c r="M224" s="4">
        <v>0</v>
      </c>
      <c r="N224" s="4">
        <v>559</v>
      </c>
      <c r="O224" s="4">
        <v>0</v>
      </c>
      <c r="P224" s="24">
        <v>559</v>
      </c>
      <c r="Q224" s="4">
        <v>0</v>
      </c>
      <c r="R224" s="4">
        <v>1999409</v>
      </c>
      <c r="S224" s="4">
        <v>0</v>
      </c>
      <c r="T224" s="4">
        <v>-25629</v>
      </c>
      <c r="U224" s="24">
        <v>-25629</v>
      </c>
      <c r="V224" s="4">
        <v>82936</v>
      </c>
      <c r="W224" s="14">
        <v>45184</v>
      </c>
      <c r="X224" s="2"/>
      <c r="Y224" s="5" t="s">
        <v>947</v>
      </c>
      <c r="Z224" s="5" t="s">
        <v>2862</v>
      </c>
      <c r="AA224" s="5" t="s">
        <v>2</v>
      </c>
      <c r="AB224" s="21" t="s">
        <v>2</v>
      </c>
      <c r="AC224" s="54" t="s">
        <v>4179</v>
      </c>
    </row>
    <row r="225" spans="2:29" x14ac:dyDescent="0.3">
      <c r="B225" s="18" t="s">
        <v>3631</v>
      </c>
      <c r="C225" s="47" t="s">
        <v>2863</v>
      </c>
      <c r="D225" s="15" t="s">
        <v>1263</v>
      </c>
      <c r="E225" s="55" t="s">
        <v>2</v>
      </c>
      <c r="F225" s="14">
        <v>44880</v>
      </c>
      <c r="G225" s="5" t="s">
        <v>2224</v>
      </c>
      <c r="H225" s="2"/>
      <c r="I225" s="4">
        <v>1150399</v>
      </c>
      <c r="J225" s="4">
        <v>1150399</v>
      </c>
      <c r="K225" s="4">
        <v>1150392</v>
      </c>
      <c r="L225" s="4">
        <v>1150399</v>
      </c>
      <c r="M225" s="4">
        <v>0</v>
      </c>
      <c r="N225" s="4">
        <v>0</v>
      </c>
      <c r="O225" s="4">
        <v>0</v>
      </c>
      <c r="P225" s="24">
        <v>0</v>
      </c>
      <c r="Q225" s="4">
        <v>0</v>
      </c>
      <c r="R225" s="4">
        <v>1150399</v>
      </c>
      <c r="S225" s="4">
        <v>0</v>
      </c>
      <c r="T225" s="4">
        <v>0</v>
      </c>
      <c r="U225" s="24">
        <v>0</v>
      </c>
      <c r="V225" s="4">
        <v>7434</v>
      </c>
      <c r="W225" s="14">
        <v>48167</v>
      </c>
      <c r="X225" s="2"/>
      <c r="Y225" s="5" t="s">
        <v>2</v>
      </c>
      <c r="Z225" s="5" t="s">
        <v>1263</v>
      </c>
      <c r="AA225" s="5" t="s">
        <v>2</v>
      </c>
      <c r="AB225" s="21" t="s">
        <v>2</v>
      </c>
      <c r="AC225" s="54" t="s">
        <v>4179</v>
      </c>
    </row>
    <row r="226" spans="2:29" x14ac:dyDescent="0.3">
      <c r="B226" s="18" t="s">
        <v>237</v>
      </c>
      <c r="C226" s="47" t="s">
        <v>488</v>
      </c>
      <c r="D226" s="15" t="s">
        <v>4159</v>
      </c>
      <c r="E226" s="55" t="s">
        <v>2</v>
      </c>
      <c r="F226" s="14">
        <v>44903</v>
      </c>
      <c r="G226" s="5" t="s">
        <v>1861</v>
      </c>
      <c r="H226" s="2"/>
      <c r="I226" s="4">
        <v>4920900</v>
      </c>
      <c r="J226" s="4">
        <v>5000000</v>
      </c>
      <c r="K226" s="4">
        <v>4989600</v>
      </c>
      <c r="L226" s="4">
        <v>4995016</v>
      </c>
      <c r="M226" s="4">
        <v>0</v>
      </c>
      <c r="N226" s="4">
        <v>78011</v>
      </c>
      <c r="O226" s="4">
        <v>0</v>
      </c>
      <c r="P226" s="24">
        <v>78011</v>
      </c>
      <c r="Q226" s="4">
        <v>0</v>
      </c>
      <c r="R226" s="4">
        <v>5073028</v>
      </c>
      <c r="S226" s="4">
        <v>0</v>
      </c>
      <c r="T226" s="4">
        <v>-76064</v>
      </c>
      <c r="U226" s="24">
        <v>-76064</v>
      </c>
      <c r="V226" s="4">
        <v>130707</v>
      </c>
      <c r="W226" s="14">
        <v>45413</v>
      </c>
      <c r="X226" s="2"/>
      <c r="Y226" s="5" t="s">
        <v>755</v>
      </c>
      <c r="Z226" s="5" t="s">
        <v>2513</v>
      </c>
      <c r="AA226" s="5" t="s">
        <v>824</v>
      </c>
      <c r="AB226" s="21" t="s">
        <v>2</v>
      </c>
      <c r="AC226" s="54" t="s">
        <v>4179</v>
      </c>
    </row>
    <row r="227" spans="2:29" x14ac:dyDescent="0.3">
      <c r="B227" s="18" t="s">
        <v>1386</v>
      </c>
      <c r="C227" s="47" t="s">
        <v>238</v>
      </c>
      <c r="D227" s="15" t="s">
        <v>3632</v>
      </c>
      <c r="E227" s="55" t="s">
        <v>2</v>
      </c>
      <c r="F227" s="14">
        <v>44767</v>
      </c>
      <c r="G227" s="5" t="s">
        <v>4454</v>
      </c>
      <c r="H227" s="2"/>
      <c r="I227" s="4">
        <v>1984120</v>
      </c>
      <c r="J227" s="4">
        <v>2000000</v>
      </c>
      <c r="K227" s="4">
        <v>1989540</v>
      </c>
      <c r="L227" s="4">
        <v>1994925</v>
      </c>
      <c r="M227" s="4">
        <v>0</v>
      </c>
      <c r="N227" s="4">
        <v>1167</v>
      </c>
      <c r="O227" s="4">
        <v>0</v>
      </c>
      <c r="P227" s="24">
        <v>1167</v>
      </c>
      <c r="Q227" s="4">
        <v>0</v>
      </c>
      <c r="R227" s="4">
        <v>1996092</v>
      </c>
      <c r="S227" s="4">
        <v>0</v>
      </c>
      <c r="T227" s="4">
        <v>-11972</v>
      </c>
      <c r="U227" s="24">
        <v>-11972</v>
      </c>
      <c r="V227" s="4">
        <v>40972</v>
      </c>
      <c r="W227" s="14">
        <v>45444</v>
      </c>
      <c r="X227" s="2"/>
      <c r="Y227" s="5" t="s">
        <v>2514</v>
      </c>
      <c r="Z227" s="5" t="s">
        <v>3632</v>
      </c>
      <c r="AA227" s="5" t="s">
        <v>2</v>
      </c>
      <c r="AB227" s="21" t="s">
        <v>2</v>
      </c>
      <c r="AC227" s="54" t="s">
        <v>4179</v>
      </c>
    </row>
    <row r="228" spans="2:29" x14ac:dyDescent="0.3">
      <c r="B228" s="18" t="s">
        <v>3376</v>
      </c>
      <c r="C228" s="47" t="s">
        <v>3581</v>
      </c>
      <c r="D228" s="15" t="s">
        <v>3807</v>
      </c>
      <c r="E228" s="55" t="s">
        <v>2</v>
      </c>
      <c r="F228" s="14">
        <v>44915</v>
      </c>
      <c r="G228" s="5" t="s">
        <v>2704</v>
      </c>
      <c r="H228" s="2"/>
      <c r="I228" s="4">
        <v>1451761</v>
      </c>
      <c r="J228" s="4">
        <v>1451761</v>
      </c>
      <c r="K228" s="4">
        <v>1452448</v>
      </c>
      <c r="L228" s="4">
        <v>1452315</v>
      </c>
      <c r="M228" s="4">
        <v>0</v>
      </c>
      <c r="N228" s="4">
        <v>-553</v>
      </c>
      <c r="O228" s="4">
        <v>0</v>
      </c>
      <c r="P228" s="24">
        <v>-553</v>
      </c>
      <c r="Q228" s="4">
        <v>0</v>
      </c>
      <c r="R228" s="4">
        <v>1451761</v>
      </c>
      <c r="S228" s="4">
        <v>0</v>
      </c>
      <c r="T228" s="4">
        <v>0</v>
      </c>
      <c r="U228" s="24">
        <v>0</v>
      </c>
      <c r="V228" s="4">
        <v>16731</v>
      </c>
      <c r="W228" s="14">
        <v>50241</v>
      </c>
      <c r="X228" s="2"/>
      <c r="Y228" s="5" t="s">
        <v>2</v>
      </c>
      <c r="Z228" s="5" t="s">
        <v>4083</v>
      </c>
      <c r="AA228" s="5" t="s">
        <v>824</v>
      </c>
      <c r="AB228" s="21" t="s">
        <v>2</v>
      </c>
      <c r="AC228" s="54" t="s">
        <v>4179</v>
      </c>
    </row>
    <row r="229" spans="2:29" x14ac:dyDescent="0.3">
      <c r="B229" s="18" t="s">
        <v>4514</v>
      </c>
      <c r="C229" s="47" t="s">
        <v>1816</v>
      </c>
      <c r="D229" s="15" t="s">
        <v>3807</v>
      </c>
      <c r="E229" s="55" t="s">
        <v>2</v>
      </c>
      <c r="F229" s="14">
        <v>44915</v>
      </c>
      <c r="G229" s="5" t="s">
        <v>2704</v>
      </c>
      <c r="H229" s="2"/>
      <c r="I229" s="4">
        <v>559588</v>
      </c>
      <c r="J229" s="4">
        <v>559588</v>
      </c>
      <c r="K229" s="4">
        <v>559482</v>
      </c>
      <c r="L229" s="4">
        <v>559506</v>
      </c>
      <c r="M229" s="4">
        <v>0</v>
      </c>
      <c r="N229" s="4">
        <v>82</v>
      </c>
      <c r="O229" s="4">
        <v>0</v>
      </c>
      <c r="P229" s="24">
        <v>82</v>
      </c>
      <c r="Q229" s="4">
        <v>0</v>
      </c>
      <c r="R229" s="4">
        <v>559588</v>
      </c>
      <c r="S229" s="4">
        <v>0</v>
      </c>
      <c r="T229" s="4">
        <v>0</v>
      </c>
      <c r="U229" s="24">
        <v>0</v>
      </c>
      <c r="V229" s="4">
        <v>7865</v>
      </c>
      <c r="W229" s="14">
        <v>49815</v>
      </c>
      <c r="X229" s="2"/>
      <c r="Y229" s="5" t="s">
        <v>2</v>
      </c>
      <c r="Z229" s="5" t="s">
        <v>4083</v>
      </c>
      <c r="AA229" s="5" t="s">
        <v>824</v>
      </c>
      <c r="AB229" s="21" t="s">
        <v>2</v>
      </c>
      <c r="AC229" s="54" t="s">
        <v>4179</v>
      </c>
    </row>
    <row r="230" spans="2:29" x14ac:dyDescent="0.3">
      <c r="B230" s="18" t="s">
        <v>1120</v>
      </c>
      <c r="C230" s="47" t="s">
        <v>1817</v>
      </c>
      <c r="D230" s="15" t="s">
        <v>3807</v>
      </c>
      <c r="E230" s="55" t="s">
        <v>2</v>
      </c>
      <c r="F230" s="14">
        <v>44915</v>
      </c>
      <c r="G230" s="5" t="s">
        <v>2704</v>
      </c>
      <c r="H230" s="2"/>
      <c r="I230" s="4">
        <v>1007258</v>
      </c>
      <c r="J230" s="4">
        <v>1007258</v>
      </c>
      <c r="K230" s="4">
        <v>999529</v>
      </c>
      <c r="L230" s="4">
        <v>1001064</v>
      </c>
      <c r="M230" s="4">
        <v>0</v>
      </c>
      <c r="N230" s="4">
        <v>6194</v>
      </c>
      <c r="O230" s="4">
        <v>0</v>
      </c>
      <c r="P230" s="24">
        <v>6194</v>
      </c>
      <c r="Q230" s="4">
        <v>0</v>
      </c>
      <c r="R230" s="4">
        <v>1007258</v>
      </c>
      <c r="S230" s="4">
        <v>0</v>
      </c>
      <c r="T230" s="4">
        <v>0</v>
      </c>
      <c r="U230" s="24">
        <v>0</v>
      </c>
      <c r="V230" s="4">
        <v>15664</v>
      </c>
      <c r="W230" s="14">
        <v>49815</v>
      </c>
      <c r="X230" s="2"/>
      <c r="Y230" s="5" t="s">
        <v>2</v>
      </c>
      <c r="Z230" s="5" t="s">
        <v>4083</v>
      </c>
      <c r="AA230" s="5" t="s">
        <v>824</v>
      </c>
      <c r="AB230" s="21" t="s">
        <v>2</v>
      </c>
      <c r="AC230" s="54" t="s">
        <v>4179</v>
      </c>
    </row>
    <row r="231" spans="2:29" x14ac:dyDescent="0.3">
      <c r="B231" s="18" t="s">
        <v>2233</v>
      </c>
      <c r="C231" s="47" t="s">
        <v>4424</v>
      </c>
      <c r="D231" s="15" t="s">
        <v>3580</v>
      </c>
      <c r="E231" s="55" t="s">
        <v>2</v>
      </c>
      <c r="F231" s="14">
        <v>44915</v>
      </c>
      <c r="G231" s="5" t="s">
        <v>2704</v>
      </c>
      <c r="H231" s="2"/>
      <c r="I231" s="4">
        <v>2058758</v>
      </c>
      <c r="J231" s="4">
        <v>2058758</v>
      </c>
      <c r="K231" s="4">
        <v>2058295</v>
      </c>
      <c r="L231" s="4">
        <v>2058352</v>
      </c>
      <c r="M231" s="4">
        <v>0</v>
      </c>
      <c r="N231" s="4">
        <v>406</v>
      </c>
      <c r="O231" s="4">
        <v>0</v>
      </c>
      <c r="P231" s="24">
        <v>406</v>
      </c>
      <c r="Q231" s="4">
        <v>0</v>
      </c>
      <c r="R231" s="4">
        <v>2058758</v>
      </c>
      <c r="S231" s="4">
        <v>0</v>
      </c>
      <c r="T231" s="4">
        <v>0</v>
      </c>
      <c r="U231" s="24">
        <v>0</v>
      </c>
      <c r="V231" s="4">
        <v>13756</v>
      </c>
      <c r="W231" s="14">
        <v>50364</v>
      </c>
      <c r="X231" s="2"/>
      <c r="Y231" s="5" t="s">
        <v>2</v>
      </c>
      <c r="Z231" s="5" t="s">
        <v>2668</v>
      </c>
      <c r="AA231" s="5" t="s">
        <v>824</v>
      </c>
      <c r="AB231" s="21" t="s">
        <v>2</v>
      </c>
      <c r="AC231" s="54" t="s">
        <v>4179</v>
      </c>
    </row>
    <row r="232" spans="2:29" x14ac:dyDescent="0.3">
      <c r="B232" s="18" t="s">
        <v>3633</v>
      </c>
      <c r="C232" s="47" t="s">
        <v>4425</v>
      </c>
      <c r="D232" s="15" t="s">
        <v>3580</v>
      </c>
      <c r="E232" s="55" t="s">
        <v>2</v>
      </c>
      <c r="F232" s="14">
        <v>44915</v>
      </c>
      <c r="G232" s="5" t="s">
        <v>2704</v>
      </c>
      <c r="H232" s="2"/>
      <c r="I232" s="4">
        <v>1415396</v>
      </c>
      <c r="J232" s="4">
        <v>1415396</v>
      </c>
      <c r="K232" s="4">
        <v>1415209</v>
      </c>
      <c r="L232" s="4">
        <v>1415232</v>
      </c>
      <c r="M232" s="4">
        <v>0</v>
      </c>
      <c r="N232" s="4">
        <v>164</v>
      </c>
      <c r="O232" s="4">
        <v>0</v>
      </c>
      <c r="P232" s="24">
        <v>164</v>
      </c>
      <c r="Q232" s="4">
        <v>0</v>
      </c>
      <c r="R232" s="4">
        <v>1415396</v>
      </c>
      <c r="S232" s="4">
        <v>0</v>
      </c>
      <c r="T232" s="4">
        <v>0</v>
      </c>
      <c r="U232" s="24">
        <v>0</v>
      </c>
      <c r="V232" s="4">
        <v>12634</v>
      </c>
      <c r="W232" s="14">
        <v>50364</v>
      </c>
      <c r="X232" s="2"/>
      <c r="Y232" s="5" t="s">
        <v>2</v>
      </c>
      <c r="Z232" s="5" t="s">
        <v>2668</v>
      </c>
      <c r="AA232" s="5" t="s">
        <v>824</v>
      </c>
      <c r="AB232" s="21" t="s">
        <v>2</v>
      </c>
      <c r="AC232" s="54" t="s">
        <v>4179</v>
      </c>
    </row>
    <row r="233" spans="2:29" x14ac:dyDescent="0.3">
      <c r="B233" s="18" t="s">
        <v>239</v>
      </c>
      <c r="C233" s="47" t="s">
        <v>1323</v>
      </c>
      <c r="D233" s="15" t="s">
        <v>4086</v>
      </c>
      <c r="E233" s="55" t="s">
        <v>2</v>
      </c>
      <c r="F233" s="14">
        <v>44915</v>
      </c>
      <c r="G233" s="5" t="s">
        <v>2704</v>
      </c>
      <c r="H233" s="2"/>
      <c r="I233" s="4">
        <v>4774735</v>
      </c>
      <c r="J233" s="4">
        <v>4774735</v>
      </c>
      <c r="K233" s="4">
        <v>4774557</v>
      </c>
      <c r="L233" s="4">
        <v>4774559</v>
      </c>
      <c r="M233" s="4">
        <v>0</v>
      </c>
      <c r="N233" s="4">
        <v>176</v>
      </c>
      <c r="O233" s="4">
        <v>0</v>
      </c>
      <c r="P233" s="24">
        <v>176</v>
      </c>
      <c r="Q233" s="4">
        <v>0</v>
      </c>
      <c r="R233" s="4">
        <v>4774735</v>
      </c>
      <c r="S233" s="4">
        <v>0</v>
      </c>
      <c r="T233" s="4">
        <v>0</v>
      </c>
      <c r="U233" s="24">
        <v>0</v>
      </c>
      <c r="V233" s="4">
        <v>38782</v>
      </c>
      <c r="W233" s="14">
        <v>50668</v>
      </c>
      <c r="X233" s="2"/>
      <c r="Y233" s="5" t="s">
        <v>2</v>
      </c>
      <c r="Z233" s="5" t="s">
        <v>3582</v>
      </c>
      <c r="AA233" s="5" t="s">
        <v>824</v>
      </c>
      <c r="AB233" s="21" t="s">
        <v>2</v>
      </c>
      <c r="AC233" s="54" t="s">
        <v>4179</v>
      </c>
    </row>
    <row r="234" spans="2:29" x14ac:dyDescent="0.3">
      <c r="B234" s="18" t="s">
        <v>1387</v>
      </c>
      <c r="C234" s="47" t="s">
        <v>1324</v>
      </c>
      <c r="D234" s="15" t="s">
        <v>4086</v>
      </c>
      <c r="E234" s="55" t="s">
        <v>2</v>
      </c>
      <c r="F234" s="14">
        <v>44915</v>
      </c>
      <c r="G234" s="5" t="s">
        <v>2704</v>
      </c>
      <c r="H234" s="2"/>
      <c r="I234" s="4">
        <v>3819788</v>
      </c>
      <c r="J234" s="4">
        <v>3819788</v>
      </c>
      <c r="K234" s="4">
        <v>3819782</v>
      </c>
      <c r="L234" s="4">
        <v>3819780</v>
      </c>
      <c r="M234" s="4">
        <v>0</v>
      </c>
      <c r="N234" s="4">
        <v>8</v>
      </c>
      <c r="O234" s="4">
        <v>0</v>
      </c>
      <c r="P234" s="24">
        <v>8</v>
      </c>
      <c r="Q234" s="4">
        <v>0</v>
      </c>
      <c r="R234" s="4">
        <v>3819788</v>
      </c>
      <c r="S234" s="4">
        <v>0</v>
      </c>
      <c r="T234" s="4">
        <v>0</v>
      </c>
      <c r="U234" s="24">
        <v>0</v>
      </c>
      <c r="V234" s="4">
        <v>33611</v>
      </c>
      <c r="W234" s="14">
        <v>50668</v>
      </c>
      <c r="X234" s="2"/>
      <c r="Y234" s="5" t="s">
        <v>2</v>
      </c>
      <c r="Z234" s="5" t="s">
        <v>3582</v>
      </c>
      <c r="AA234" s="5" t="s">
        <v>824</v>
      </c>
      <c r="AB234" s="21" t="s">
        <v>2</v>
      </c>
      <c r="AC234" s="54" t="s">
        <v>4179</v>
      </c>
    </row>
    <row r="235" spans="2:29" x14ac:dyDescent="0.3">
      <c r="B235" s="18" t="s">
        <v>2515</v>
      </c>
      <c r="C235" s="47" t="s">
        <v>1548</v>
      </c>
      <c r="D235" s="15" t="s">
        <v>1325</v>
      </c>
      <c r="E235" s="55" t="s">
        <v>2</v>
      </c>
      <c r="F235" s="14">
        <v>44915</v>
      </c>
      <c r="G235" s="5" t="s">
        <v>2704</v>
      </c>
      <c r="H235" s="2"/>
      <c r="I235" s="4">
        <v>367296</v>
      </c>
      <c r="J235" s="4">
        <v>367296</v>
      </c>
      <c r="K235" s="4">
        <v>367226</v>
      </c>
      <c r="L235" s="4">
        <v>367248</v>
      </c>
      <c r="M235" s="4">
        <v>0</v>
      </c>
      <c r="N235" s="4">
        <v>48</v>
      </c>
      <c r="O235" s="4">
        <v>0</v>
      </c>
      <c r="P235" s="24">
        <v>48</v>
      </c>
      <c r="Q235" s="4">
        <v>0</v>
      </c>
      <c r="R235" s="4">
        <v>367296</v>
      </c>
      <c r="S235" s="4">
        <v>0</v>
      </c>
      <c r="T235" s="4">
        <v>0</v>
      </c>
      <c r="U235" s="24">
        <v>0</v>
      </c>
      <c r="V235" s="4">
        <v>6640</v>
      </c>
      <c r="W235" s="14">
        <v>49480</v>
      </c>
      <c r="X235" s="2"/>
      <c r="Y235" s="5" t="s">
        <v>2</v>
      </c>
      <c r="Z235" s="5" t="s">
        <v>4083</v>
      </c>
      <c r="AA235" s="5" t="s">
        <v>4083</v>
      </c>
      <c r="AB235" s="21" t="s">
        <v>2</v>
      </c>
      <c r="AC235" s="54" t="s">
        <v>4179</v>
      </c>
    </row>
    <row r="236" spans="2:29" x14ac:dyDescent="0.3">
      <c r="B236" s="18" t="s">
        <v>3634</v>
      </c>
      <c r="C236" s="47" t="s">
        <v>1326</v>
      </c>
      <c r="D236" s="15" t="s">
        <v>3807</v>
      </c>
      <c r="E236" s="55" t="s">
        <v>2</v>
      </c>
      <c r="F236" s="14">
        <v>44915</v>
      </c>
      <c r="G236" s="5" t="s">
        <v>2704</v>
      </c>
      <c r="H236" s="2"/>
      <c r="I236" s="4">
        <v>394843</v>
      </c>
      <c r="J236" s="4">
        <v>394843</v>
      </c>
      <c r="K236" s="4">
        <v>400030</v>
      </c>
      <c r="L236" s="4">
        <v>399075</v>
      </c>
      <c r="M236" s="4">
        <v>0</v>
      </c>
      <c r="N236" s="4">
        <v>-4232</v>
      </c>
      <c r="O236" s="4">
        <v>0</v>
      </c>
      <c r="P236" s="24">
        <v>-4232</v>
      </c>
      <c r="Q236" s="4">
        <v>0</v>
      </c>
      <c r="R236" s="4">
        <v>394843</v>
      </c>
      <c r="S236" s="4">
        <v>0</v>
      </c>
      <c r="T236" s="4">
        <v>0</v>
      </c>
      <c r="U236" s="24">
        <v>0</v>
      </c>
      <c r="V236" s="4">
        <v>7444</v>
      </c>
      <c r="W236" s="14">
        <v>49480</v>
      </c>
      <c r="X236" s="2"/>
      <c r="Y236" s="5" t="s">
        <v>2</v>
      </c>
      <c r="Z236" s="5" t="s">
        <v>4083</v>
      </c>
      <c r="AA236" s="5" t="s">
        <v>824</v>
      </c>
      <c r="AB236" s="21" t="s">
        <v>2</v>
      </c>
      <c r="AC236" s="54" t="s">
        <v>4179</v>
      </c>
    </row>
    <row r="237" spans="2:29" x14ac:dyDescent="0.3">
      <c r="B237" s="18" t="s">
        <v>240</v>
      </c>
      <c r="C237" s="47" t="s">
        <v>2670</v>
      </c>
      <c r="D237" s="15" t="s">
        <v>3807</v>
      </c>
      <c r="E237" s="55" t="s">
        <v>2</v>
      </c>
      <c r="F237" s="14">
        <v>44915</v>
      </c>
      <c r="G237" s="5" t="s">
        <v>2704</v>
      </c>
      <c r="H237" s="2"/>
      <c r="I237" s="4">
        <v>609795</v>
      </c>
      <c r="J237" s="4">
        <v>609795</v>
      </c>
      <c r="K237" s="4">
        <v>609661</v>
      </c>
      <c r="L237" s="4">
        <v>609695</v>
      </c>
      <c r="M237" s="4">
        <v>0</v>
      </c>
      <c r="N237" s="4">
        <v>99</v>
      </c>
      <c r="O237" s="4">
        <v>0</v>
      </c>
      <c r="P237" s="24">
        <v>99</v>
      </c>
      <c r="Q237" s="4">
        <v>0</v>
      </c>
      <c r="R237" s="4">
        <v>609795</v>
      </c>
      <c r="S237" s="4">
        <v>0</v>
      </c>
      <c r="T237" s="4">
        <v>0</v>
      </c>
      <c r="U237" s="24">
        <v>0</v>
      </c>
      <c r="V237" s="4">
        <v>10561</v>
      </c>
      <c r="W237" s="14">
        <v>49694</v>
      </c>
      <c r="X237" s="2"/>
      <c r="Y237" s="5" t="s">
        <v>2</v>
      </c>
      <c r="Z237" s="5" t="s">
        <v>4083</v>
      </c>
      <c r="AA237" s="5" t="s">
        <v>824</v>
      </c>
      <c r="AB237" s="21" t="s">
        <v>2</v>
      </c>
      <c r="AC237" s="54" t="s">
        <v>4179</v>
      </c>
    </row>
    <row r="238" spans="2:29" x14ac:dyDescent="0.3">
      <c r="B238" s="18" t="s">
        <v>1892</v>
      </c>
      <c r="C238" s="47" t="s">
        <v>2671</v>
      </c>
      <c r="D238" s="15" t="s">
        <v>3807</v>
      </c>
      <c r="E238" s="55" t="s">
        <v>2</v>
      </c>
      <c r="F238" s="14">
        <v>44915</v>
      </c>
      <c r="G238" s="5" t="s">
        <v>2704</v>
      </c>
      <c r="H238" s="2"/>
      <c r="I238" s="4">
        <v>1651527</v>
      </c>
      <c r="J238" s="4">
        <v>1651527</v>
      </c>
      <c r="K238" s="4">
        <v>1657820</v>
      </c>
      <c r="L238" s="4">
        <v>1656529</v>
      </c>
      <c r="M238" s="4">
        <v>0</v>
      </c>
      <c r="N238" s="4">
        <v>-5002</v>
      </c>
      <c r="O238" s="4">
        <v>0</v>
      </c>
      <c r="P238" s="24">
        <v>-5002</v>
      </c>
      <c r="Q238" s="4">
        <v>0</v>
      </c>
      <c r="R238" s="4">
        <v>1651527</v>
      </c>
      <c r="S238" s="4">
        <v>0</v>
      </c>
      <c r="T238" s="4">
        <v>0</v>
      </c>
      <c r="U238" s="24">
        <v>0</v>
      </c>
      <c r="V238" s="4">
        <v>31531</v>
      </c>
      <c r="W238" s="14">
        <v>49694</v>
      </c>
      <c r="X238" s="2"/>
      <c r="Y238" s="5" t="s">
        <v>2</v>
      </c>
      <c r="Z238" s="5" t="s">
        <v>4083</v>
      </c>
      <c r="AA238" s="5" t="s">
        <v>824</v>
      </c>
      <c r="AB238" s="21" t="s">
        <v>2</v>
      </c>
      <c r="AC238" s="54" t="s">
        <v>4179</v>
      </c>
    </row>
    <row r="239" spans="2:29" x14ac:dyDescent="0.3">
      <c r="B239" s="18" t="s">
        <v>3032</v>
      </c>
      <c r="C239" s="47" t="s">
        <v>4426</v>
      </c>
      <c r="D239" s="15" t="s">
        <v>3807</v>
      </c>
      <c r="E239" s="55" t="s">
        <v>2</v>
      </c>
      <c r="F239" s="14">
        <v>44915</v>
      </c>
      <c r="G239" s="5" t="s">
        <v>2704</v>
      </c>
      <c r="H239" s="2"/>
      <c r="I239" s="4">
        <v>499165</v>
      </c>
      <c r="J239" s="4">
        <v>499165</v>
      </c>
      <c r="K239" s="4">
        <v>499040</v>
      </c>
      <c r="L239" s="4">
        <v>499077</v>
      </c>
      <c r="M239" s="4">
        <v>0</v>
      </c>
      <c r="N239" s="4">
        <v>88</v>
      </c>
      <c r="O239" s="4">
        <v>0</v>
      </c>
      <c r="P239" s="24">
        <v>88</v>
      </c>
      <c r="Q239" s="4">
        <v>0</v>
      </c>
      <c r="R239" s="4">
        <v>499165</v>
      </c>
      <c r="S239" s="4">
        <v>0</v>
      </c>
      <c r="T239" s="4">
        <v>0</v>
      </c>
      <c r="U239" s="24">
        <v>0</v>
      </c>
      <c r="V239" s="4">
        <v>9273</v>
      </c>
      <c r="W239" s="14">
        <v>49572</v>
      </c>
      <c r="X239" s="2"/>
      <c r="Y239" s="5" t="s">
        <v>2</v>
      </c>
      <c r="Z239" s="5" t="s">
        <v>4083</v>
      </c>
      <c r="AA239" s="5" t="s">
        <v>824</v>
      </c>
      <c r="AB239" s="21" t="s">
        <v>2</v>
      </c>
      <c r="AC239" s="54" t="s">
        <v>4179</v>
      </c>
    </row>
    <row r="240" spans="2:29" x14ac:dyDescent="0.3">
      <c r="B240" s="18" t="s">
        <v>4160</v>
      </c>
      <c r="C240" s="47" t="s">
        <v>2446</v>
      </c>
      <c r="D240" s="15" t="s">
        <v>3807</v>
      </c>
      <c r="E240" s="55" t="s">
        <v>2</v>
      </c>
      <c r="F240" s="14">
        <v>44915</v>
      </c>
      <c r="G240" s="5" t="s">
        <v>2704</v>
      </c>
      <c r="H240" s="2"/>
      <c r="I240" s="4">
        <v>332777</v>
      </c>
      <c r="J240" s="4">
        <v>332777</v>
      </c>
      <c r="K240" s="4">
        <v>332722</v>
      </c>
      <c r="L240" s="4">
        <v>332736</v>
      </c>
      <c r="M240" s="4">
        <v>0</v>
      </c>
      <c r="N240" s="4">
        <v>41</v>
      </c>
      <c r="O240" s="4">
        <v>0</v>
      </c>
      <c r="P240" s="24">
        <v>41</v>
      </c>
      <c r="Q240" s="4">
        <v>0</v>
      </c>
      <c r="R240" s="4">
        <v>332777</v>
      </c>
      <c r="S240" s="4">
        <v>0</v>
      </c>
      <c r="T240" s="4">
        <v>0</v>
      </c>
      <c r="U240" s="24">
        <v>0</v>
      </c>
      <c r="V240" s="4">
        <v>6483</v>
      </c>
      <c r="W240" s="14">
        <v>49572</v>
      </c>
      <c r="X240" s="2"/>
      <c r="Y240" s="5" t="s">
        <v>2</v>
      </c>
      <c r="Z240" s="5" t="s">
        <v>4083</v>
      </c>
      <c r="AA240" s="5" t="s">
        <v>824</v>
      </c>
      <c r="AB240" s="21" t="s">
        <v>2</v>
      </c>
      <c r="AC240" s="54" t="s">
        <v>4179</v>
      </c>
    </row>
    <row r="241" spans="2:29" x14ac:dyDescent="0.3">
      <c r="B241" s="18" t="s">
        <v>756</v>
      </c>
      <c r="C241" s="47" t="s">
        <v>2447</v>
      </c>
      <c r="D241" s="15" t="s">
        <v>3807</v>
      </c>
      <c r="E241" s="55" t="s">
        <v>2</v>
      </c>
      <c r="F241" s="14">
        <v>44915</v>
      </c>
      <c r="G241" s="5" t="s">
        <v>2704</v>
      </c>
      <c r="H241" s="2"/>
      <c r="I241" s="4">
        <v>1539094</v>
      </c>
      <c r="J241" s="4">
        <v>1539094</v>
      </c>
      <c r="K241" s="4">
        <v>1571884</v>
      </c>
      <c r="L241" s="4">
        <v>1565957</v>
      </c>
      <c r="M241" s="4">
        <v>0</v>
      </c>
      <c r="N241" s="4">
        <v>-26864</v>
      </c>
      <c r="O241" s="4">
        <v>0</v>
      </c>
      <c r="P241" s="24">
        <v>-26864</v>
      </c>
      <c r="Q241" s="4">
        <v>0</v>
      </c>
      <c r="R241" s="4">
        <v>1539094</v>
      </c>
      <c r="S241" s="4">
        <v>0</v>
      </c>
      <c r="T241" s="4">
        <v>0</v>
      </c>
      <c r="U241" s="24">
        <v>0</v>
      </c>
      <c r="V241" s="4">
        <v>32310</v>
      </c>
      <c r="W241" s="14">
        <v>49572</v>
      </c>
      <c r="X241" s="2"/>
      <c r="Y241" s="5" t="s">
        <v>2</v>
      </c>
      <c r="Z241" s="5" t="s">
        <v>4083</v>
      </c>
      <c r="AA241" s="5" t="s">
        <v>824</v>
      </c>
      <c r="AB241" s="21" t="s">
        <v>2</v>
      </c>
      <c r="AC241" s="54" t="s">
        <v>4179</v>
      </c>
    </row>
    <row r="242" spans="2:29" x14ac:dyDescent="0.3">
      <c r="B242" s="18" t="s">
        <v>1893</v>
      </c>
      <c r="C242" s="47" t="s">
        <v>3283</v>
      </c>
      <c r="D242" s="15" t="s">
        <v>1026</v>
      </c>
      <c r="E242" s="55" t="s">
        <v>2</v>
      </c>
      <c r="F242" s="14">
        <v>44915</v>
      </c>
      <c r="G242" s="5" t="s">
        <v>2704</v>
      </c>
      <c r="H242" s="2"/>
      <c r="I242" s="4">
        <v>20000</v>
      </c>
      <c r="J242" s="4">
        <v>20000</v>
      </c>
      <c r="K242" s="4">
        <v>20000</v>
      </c>
      <c r="L242" s="4">
        <v>20000</v>
      </c>
      <c r="M242" s="4">
        <v>0</v>
      </c>
      <c r="N242" s="4">
        <v>0</v>
      </c>
      <c r="O242" s="4">
        <v>0</v>
      </c>
      <c r="P242" s="24">
        <v>0</v>
      </c>
      <c r="Q242" s="4">
        <v>0</v>
      </c>
      <c r="R242" s="4">
        <v>20000</v>
      </c>
      <c r="S242" s="4">
        <v>0</v>
      </c>
      <c r="T242" s="4">
        <v>0</v>
      </c>
      <c r="U242" s="24">
        <v>0</v>
      </c>
      <c r="V242" s="4">
        <v>470</v>
      </c>
      <c r="W242" s="14">
        <v>54808</v>
      </c>
      <c r="X242" s="2"/>
      <c r="Y242" s="5" t="s">
        <v>2</v>
      </c>
      <c r="Z242" s="5" t="s">
        <v>1327</v>
      </c>
      <c r="AA242" s="5" t="s">
        <v>824</v>
      </c>
      <c r="AB242" s="21" t="s">
        <v>2</v>
      </c>
      <c r="AC242" s="54" t="s">
        <v>4179</v>
      </c>
    </row>
    <row r="243" spans="2:29" x14ac:dyDescent="0.3">
      <c r="B243" s="18" t="s">
        <v>3033</v>
      </c>
      <c r="C243" s="47" t="s">
        <v>2946</v>
      </c>
      <c r="D243" s="15" t="s">
        <v>1549</v>
      </c>
      <c r="E243" s="55" t="s">
        <v>2</v>
      </c>
      <c r="F243" s="14">
        <v>44915</v>
      </c>
      <c r="G243" s="5" t="s">
        <v>2704</v>
      </c>
      <c r="H243" s="2"/>
      <c r="I243" s="4">
        <v>100000</v>
      </c>
      <c r="J243" s="4">
        <v>100000</v>
      </c>
      <c r="K243" s="4">
        <v>100000</v>
      </c>
      <c r="L243" s="4">
        <v>100000</v>
      </c>
      <c r="M243" s="4">
        <v>0</v>
      </c>
      <c r="N243" s="4">
        <v>0</v>
      </c>
      <c r="O243" s="4">
        <v>0</v>
      </c>
      <c r="P243" s="24">
        <v>0</v>
      </c>
      <c r="Q243" s="4">
        <v>0</v>
      </c>
      <c r="R243" s="4">
        <v>100000</v>
      </c>
      <c r="S243" s="4">
        <v>0</v>
      </c>
      <c r="T243" s="4">
        <v>0</v>
      </c>
      <c r="U243" s="24">
        <v>0</v>
      </c>
      <c r="V243" s="4">
        <v>1427</v>
      </c>
      <c r="W243" s="14">
        <v>55385</v>
      </c>
      <c r="X243" s="2"/>
      <c r="Y243" s="5" t="s">
        <v>2</v>
      </c>
      <c r="Z243" s="5" t="s">
        <v>1027</v>
      </c>
      <c r="AA243" s="5" t="s">
        <v>824</v>
      </c>
      <c r="AB243" s="21" t="s">
        <v>2</v>
      </c>
      <c r="AC243" s="54" t="s">
        <v>4179</v>
      </c>
    </row>
    <row r="244" spans="2:29" x14ac:dyDescent="0.3">
      <c r="B244" s="18" t="s">
        <v>4161</v>
      </c>
      <c r="C244" s="47" t="s">
        <v>3876</v>
      </c>
      <c r="D244" s="15" t="s">
        <v>241</v>
      </c>
      <c r="E244" s="55" t="s">
        <v>2</v>
      </c>
      <c r="F244" s="14">
        <v>44698</v>
      </c>
      <c r="G244" s="5" t="s">
        <v>757</v>
      </c>
      <c r="H244" s="2"/>
      <c r="I244" s="4">
        <v>4622500</v>
      </c>
      <c r="J244" s="4">
        <v>5000000</v>
      </c>
      <c r="K244" s="4">
        <v>4957800</v>
      </c>
      <c r="L244" s="4">
        <v>4980080</v>
      </c>
      <c r="M244" s="4">
        <v>0</v>
      </c>
      <c r="N244" s="4">
        <v>2973</v>
      </c>
      <c r="O244" s="4">
        <v>0</v>
      </c>
      <c r="P244" s="24">
        <v>2973</v>
      </c>
      <c r="Q244" s="4">
        <v>0</v>
      </c>
      <c r="R244" s="4">
        <v>4983053</v>
      </c>
      <c r="S244" s="4">
        <v>0</v>
      </c>
      <c r="T244" s="4">
        <v>-360553</v>
      </c>
      <c r="U244" s="24">
        <v>-360553</v>
      </c>
      <c r="V244" s="4">
        <v>90903</v>
      </c>
      <c r="W244" s="14">
        <v>45458</v>
      </c>
      <c r="X244" s="2"/>
      <c r="Y244" s="5" t="s">
        <v>2</v>
      </c>
      <c r="Z244" s="5" t="s">
        <v>1121</v>
      </c>
      <c r="AA244" s="5" t="s">
        <v>824</v>
      </c>
      <c r="AB244" s="21" t="s">
        <v>2</v>
      </c>
      <c r="AC244" s="54" t="s">
        <v>4179</v>
      </c>
    </row>
    <row r="245" spans="2:29" x14ac:dyDescent="0.3">
      <c r="B245" s="18" t="s">
        <v>758</v>
      </c>
      <c r="C245" s="47" t="s">
        <v>1894</v>
      </c>
      <c r="D245" s="15" t="s">
        <v>3377</v>
      </c>
      <c r="E245" s="55" t="s">
        <v>2</v>
      </c>
      <c r="F245" s="14">
        <v>44657</v>
      </c>
      <c r="G245" s="5" t="s">
        <v>1867</v>
      </c>
      <c r="H245" s="2"/>
      <c r="I245" s="4">
        <v>2959080</v>
      </c>
      <c r="J245" s="4">
        <v>3000000</v>
      </c>
      <c r="K245" s="4">
        <v>2997750</v>
      </c>
      <c r="L245" s="4">
        <v>2998639</v>
      </c>
      <c r="M245" s="4">
        <v>0</v>
      </c>
      <c r="N245" s="4">
        <v>120</v>
      </c>
      <c r="O245" s="4">
        <v>0</v>
      </c>
      <c r="P245" s="24">
        <v>120</v>
      </c>
      <c r="Q245" s="4">
        <v>0</v>
      </c>
      <c r="R245" s="4">
        <v>2998759</v>
      </c>
      <c r="S245" s="4">
        <v>0</v>
      </c>
      <c r="T245" s="4">
        <v>-39679</v>
      </c>
      <c r="U245" s="24">
        <v>-39679</v>
      </c>
      <c r="V245" s="4">
        <v>26367</v>
      </c>
      <c r="W245" s="14">
        <v>45641</v>
      </c>
      <c r="X245" s="2"/>
      <c r="Y245" s="5" t="s">
        <v>3034</v>
      </c>
      <c r="Z245" s="5" t="s">
        <v>2723</v>
      </c>
      <c r="AA245" s="5" t="s">
        <v>2</v>
      </c>
      <c r="AB245" s="21" t="s">
        <v>2</v>
      </c>
      <c r="AC245" s="54" t="s">
        <v>4179</v>
      </c>
    </row>
    <row r="246" spans="2:29" x14ac:dyDescent="0.3">
      <c r="B246" s="18" t="s">
        <v>2234</v>
      </c>
      <c r="C246" s="47" t="s">
        <v>3035</v>
      </c>
      <c r="D246" s="15" t="s">
        <v>3378</v>
      </c>
      <c r="E246" s="55" t="s">
        <v>2</v>
      </c>
      <c r="F246" s="14">
        <v>44650</v>
      </c>
      <c r="G246" s="5" t="s">
        <v>4454</v>
      </c>
      <c r="H246" s="2"/>
      <c r="I246" s="4">
        <v>3836773</v>
      </c>
      <c r="J246" s="4">
        <v>3829000</v>
      </c>
      <c r="K246" s="4">
        <v>3907858</v>
      </c>
      <c r="L246" s="4">
        <v>3835336</v>
      </c>
      <c r="M246" s="4">
        <v>0</v>
      </c>
      <c r="N246" s="4">
        <v>-3542</v>
      </c>
      <c r="O246" s="4">
        <v>0</v>
      </c>
      <c r="P246" s="24">
        <v>-3542</v>
      </c>
      <c r="Q246" s="4">
        <v>0</v>
      </c>
      <c r="R246" s="4">
        <v>3831794</v>
      </c>
      <c r="S246" s="4">
        <v>0</v>
      </c>
      <c r="T246" s="4">
        <v>4979</v>
      </c>
      <c r="U246" s="24">
        <v>4979</v>
      </c>
      <c r="V246" s="4">
        <v>30143</v>
      </c>
      <c r="W246" s="14">
        <v>44724</v>
      </c>
      <c r="X246" s="2"/>
      <c r="Y246" s="5" t="s">
        <v>2235</v>
      </c>
      <c r="Z246" s="5" t="s">
        <v>3036</v>
      </c>
      <c r="AA246" s="5" t="s">
        <v>2</v>
      </c>
      <c r="AB246" s="21" t="s">
        <v>2</v>
      </c>
      <c r="AC246" s="54" t="s">
        <v>4179</v>
      </c>
    </row>
    <row r="247" spans="2:29" x14ac:dyDescent="0.3">
      <c r="B247" s="18" t="s">
        <v>3379</v>
      </c>
      <c r="C247" s="47" t="s">
        <v>2724</v>
      </c>
      <c r="D247" s="15" t="s">
        <v>1601</v>
      </c>
      <c r="E247" s="55" t="s">
        <v>2</v>
      </c>
      <c r="F247" s="14">
        <v>44652</v>
      </c>
      <c r="G247" s="5" t="s">
        <v>1060</v>
      </c>
      <c r="H247" s="2"/>
      <c r="I247" s="4">
        <v>4000000</v>
      </c>
      <c r="J247" s="4">
        <v>4000000</v>
      </c>
      <c r="K247" s="4">
        <v>3990966</v>
      </c>
      <c r="L247" s="4">
        <v>3999636</v>
      </c>
      <c r="M247" s="4">
        <v>0</v>
      </c>
      <c r="N247" s="4">
        <v>364</v>
      </c>
      <c r="O247" s="4">
        <v>0</v>
      </c>
      <c r="P247" s="24">
        <v>364</v>
      </c>
      <c r="Q247" s="4">
        <v>0</v>
      </c>
      <c r="R247" s="4">
        <v>4000000</v>
      </c>
      <c r="S247" s="4">
        <v>0</v>
      </c>
      <c r="T247" s="4">
        <v>0</v>
      </c>
      <c r="U247" s="24">
        <v>0</v>
      </c>
      <c r="V247" s="4">
        <v>59000</v>
      </c>
      <c r="W247" s="14">
        <v>44652</v>
      </c>
      <c r="X247" s="2"/>
      <c r="Y247" s="5" t="s">
        <v>1122</v>
      </c>
      <c r="Z247" s="5" t="s">
        <v>4162</v>
      </c>
      <c r="AA247" s="5" t="s">
        <v>2725</v>
      </c>
      <c r="AB247" s="21" t="s">
        <v>2</v>
      </c>
      <c r="AC247" s="54" t="s">
        <v>4179</v>
      </c>
    </row>
    <row r="248" spans="2:29" x14ac:dyDescent="0.3">
      <c r="B248" s="18" t="s">
        <v>759</v>
      </c>
      <c r="C248" s="47" t="s">
        <v>684</v>
      </c>
      <c r="D248" s="15" t="s">
        <v>3811</v>
      </c>
      <c r="E248" s="55" t="s">
        <v>2</v>
      </c>
      <c r="F248" s="14">
        <v>44915</v>
      </c>
      <c r="G248" s="5" t="s">
        <v>2704</v>
      </c>
      <c r="H248" s="2"/>
      <c r="I248" s="4">
        <v>1280000</v>
      </c>
      <c r="J248" s="4">
        <v>1280000</v>
      </c>
      <c r="K248" s="4">
        <v>1279443</v>
      </c>
      <c r="L248" s="4">
        <v>1279538</v>
      </c>
      <c r="M248" s="4">
        <v>0</v>
      </c>
      <c r="N248" s="4">
        <v>462</v>
      </c>
      <c r="O248" s="4">
        <v>0</v>
      </c>
      <c r="P248" s="24">
        <v>462</v>
      </c>
      <c r="Q248" s="4">
        <v>0</v>
      </c>
      <c r="R248" s="4">
        <v>1280000</v>
      </c>
      <c r="S248" s="4">
        <v>0</v>
      </c>
      <c r="T248" s="4">
        <v>0</v>
      </c>
      <c r="U248" s="24">
        <v>0</v>
      </c>
      <c r="V248" s="4">
        <v>14491</v>
      </c>
      <c r="W248" s="14">
        <v>53194</v>
      </c>
      <c r="X248" s="2"/>
      <c r="Y248" s="5" t="s">
        <v>2</v>
      </c>
      <c r="Z248" s="5" t="s">
        <v>176</v>
      </c>
      <c r="AA248" s="5" t="s">
        <v>824</v>
      </c>
      <c r="AB248" s="21" t="s">
        <v>2</v>
      </c>
      <c r="AC248" s="54" t="s">
        <v>4179</v>
      </c>
    </row>
    <row r="249" spans="2:29" x14ac:dyDescent="0.3">
      <c r="B249" s="18" t="s">
        <v>1895</v>
      </c>
      <c r="C249" s="47" t="s">
        <v>2948</v>
      </c>
      <c r="D249" s="15" t="s">
        <v>1028</v>
      </c>
      <c r="E249" s="55" t="s">
        <v>2</v>
      </c>
      <c r="F249" s="14">
        <v>44915</v>
      </c>
      <c r="G249" s="5" t="s">
        <v>2704</v>
      </c>
      <c r="H249" s="2"/>
      <c r="I249" s="4">
        <v>310000</v>
      </c>
      <c r="J249" s="4">
        <v>310000</v>
      </c>
      <c r="K249" s="4">
        <v>309961</v>
      </c>
      <c r="L249" s="4">
        <v>309965</v>
      </c>
      <c r="M249" s="4">
        <v>0</v>
      </c>
      <c r="N249" s="4">
        <v>35</v>
      </c>
      <c r="O249" s="4">
        <v>0</v>
      </c>
      <c r="P249" s="24">
        <v>35</v>
      </c>
      <c r="Q249" s="4">
        <v>0</v>
      </c>
      <c r="R249" s="4">
        <v>310000</v>
      </c>
      <c r="S249" s="4">
        <v>0</v>
      </c>
      <c r="T249" s="4">
        <v>0</v>
      </c>
      <c r="U249" s="24">
        <v>0</v>
      </c>
      <c r="V249" s="4">
        <v>2771</v>
      </c>
      <c r="W249" s="14">
        <v>53378</v>
      </c>
      <c r="X249" s="2"/>
      <c r="Y249" s="5" t="s">
        <v>2</v>
      </c>
      <c r="Z249" s="5" t="s">
        <v>4427</v>
      </c>
      <c r="AA249" s="5" t="s">
        <v>824</v>
      </c>
      <c r="AB249" s="21" t="s">
        <v>2</v>
      </c>
      <c r="AC249" s="54" t="s">
        <v>4179</v>
      </c>
    </row>
    <row r="250" spans="2:29" x14ac:dyDescent="0.3">
      <c r="B250" s="18" t="s">
        <v>3037</v>
      </c>
      <c r="C250" s="47" t="s">
        <v>2148</v>
      </c>
      <c r="D250" s="15" t="s">
        <v>2448</v>
      </c>
      <c r="E250" s="55" t="s">
        <v>2</v>
      </c>
      <c r="F250" s="14">
        <v>44890</v>
      </c>
      <c r="G250" s="5" t="s">
        <v>2704</v>
      </c>
      <c r="H250" s="2"/>
      <c r="I250" s="4">
        <v>100000</v>
      </c>
      <c r="J250" s="4">
        <v>100000</v>
      </c>
      <c r="K250" s="4">
        <v>100000</v>
      </c>
      <c r="L250" s="4">
        <v>100000</v>
      </c>
      <c r="M250" s="4">
        <v>0</v>
      </c>
      <c r="N250" s="4">
        <v>0</v>
      </c>
      <c r="O250" s="4">
        <v>0</v>
      </c>
      <c r="P250" s="24">
        <v>0</v>
      </c>
      <c r="Q250" s="4">
        <v>0</v>
      </c>
      <c r="R250" s="4">
        <v>100000</v>
      </c>
      <c r="S250" s="4">
        <v>0</v>
      </c>
      <c r="T250" s="4">
        <v>0</v>
      </c>
      <c r="U250" s="24">
        <v>0</v>
      </c>
      <c r="V250" s="4">
        <v>1589</v>
      </c>
      <c r="W250" s="14">
        <v>55390</v>
      </c>
      <c r="X250" s="2"/>
      <c r="Y250" s="5" t="s">
        <v>2</v>
      </c>
      <c r="Z250" s="5" t="s">
        <v>4428</v>
      </c>
      <c r="AA250" s="5" t="s">
        <v>824</v>
      </c>
      <c r="AB250" s="21" t="s">
        <v>2</v>
      </c>
      <c r="AC250" s="54" t="s">
        <v>4179</v>
      </c>
    </row>
    <row r="251" spans="2:29" x14ac:dyDescent="0.3">
      <c r="B251" s="18" t="s">
        <v>4163</v>
      </c>
      <c r="C251" s="47" t="s">
        <v>177</v>
      </c>
      <c r="D251" s="15" t="s">
        <v>1550</v>
      </c>
      <c r="E251" s="55" t="s">
        <v>2</v>
      </c>
      <c r="F251" s="14">
        <v>44915</v>
      </c>
      <c r="G251" s="5" t="s">
        <v>2704</v>
      </c>
      <c r="H251" s="2"/>
      <c r="I251" s="4">
        <v>1050000</v>
      </c>
      <c r="J251" s="4">
        <v>1050000</v>
      </c>
      <c r="K251" s="4">
        <v>1049581</v>
      </c>
      <c r="L251" s="4">
        <v>1049642</v>
      </c>
      <c r="M251" s="4">
        <v>0</v>
      </c>
      <c r="N251" s="4">
        <v>358</v>
      </c>
      <c r="O251" s="4">
        <v>0</v>
      </c>
      <c r="P251" s="24">
        <v>358</v>
      </c>
      <c r="Q251" s="4">
        <v>0</v>
      </c>
      <c r="R251" s="4">
        <v>1050000</v>
      </c>
      <c r="S251" s="4">
        <v>0</v>
      </c>
      <c r="T251" s="4">
        <v>0</v>
      </c>
      <c r="U251" s="24">
        <v>0</v>
      </c>
      <c r="V251" s="4">
        <v>11659</v>
      </c>
      <c r="W251" s="14">
        <v>53225</v>
      </c>
      <c r="X251" s="2"/>
      <c r="Y251" s="5" t="s">
        <v>2</v>
      </c>
      <c r="Z251" s="5" t="s">
        <v>2449</v>
      </c>
      <c r="AA251" s="5" t="s">
        <v>824</v>
      </c>
      <c r="AB251" s="21" t="s">
        <v>2</v>
      </c>
      <c r="AC251" s="54" t="s">
        <v>4179</v>
      </c>
    </row>
    <row r="252" spans="2:29" x14ac:dyDescent="0.3">
      <c r="B252" s="18" t="s">
        <v>760</v>
      </c>
      <c r="C252" s="47" t="s">
        <v>3877</v>
      </c>
      <c r="D252" s="15" t="s">
        <v>4515</v>
      </c>
      <c r="E252" s="55" t="s">
        <v>2</v>
      </c>
      <c r="F252" s="14">
        <v>44658</v>
      </c>
      <c r="G252" s="5" t="s">
        <v>2185</v>
      </c>
      <c r="H252" s="2"/>
      <c r="I252" s="4">
        <v>5003600</v>
      </c>
      <c r="J252" s="4">
        <v>5000000</v>
      </c>
      <c r="K252" s="4">
        <v>4988500</v>
      </c>
      <c r="L252" s="4">
        <v>4994533</v>
      </c>
      <c r="M252" s="4">
        <v>0</v>
      </c>
      <c r="N252" s="4">
        <v>622</v>
      </c>
      <c r="O252" s="4">
        <v>0</v>
      </c>
      <c r="P252" s="24">
        <v>622</v>
      </c>
      <c r="Q252" s="4">
        <v>0</v>
      </c>
      <c r="R252" s="4">
        <v>4995155</v>
      </c>
      <c r="S252" s="4">
        <v>0</v>
      </c>
      <c r="T252" s="4">
        <v>8445</v>
      </c>
      <c r="U252" s="24">
        <v>8445</v>
      </c>
      <c r="V252" s="4">
        <v>53229</v>
      </c>
      <c r="W252" s="14">
        <v>45427</v>
      </c>
      <c r="X252" s="2"/>
      <c r="Y252" s="5" t="s">
        <v>1388</v>
      </c>
      <c r="Z252" s="5" t="s">
        <v>2236</v>
      </c>
      <c r="AA252" s="5" t="s">
        <v>2</v>
      </c>
      <c r="AB252" s="21" t="s">
        <v>2</v>
      </c>
      <c r="AC252" s="54" t="s">
        <v>4179</v>
      </c>
    </row>
    <row r="253" spans="2:29" x14ac:dyDescent="0.3">
      <c r="B253" s="18" t="s">
        <v>1896</v>
      </c>
      <c r="C253" s="47" t="s">
        <v>2673</v>
      </c>
      <c r="D253" s="15" t="s">
        <v>4091</v>
      </c>
      <c r="E253" s="55" t="s">
        <v>2</v>
      </c>
      <c r="F253" s="14">
        <v>44915</v>
      </c>
      <c r="G253" s="5" t="s">
        <v>2704</v>
      </c>
      <c r="H253" s="2"/>
      <c r="I253" s="4">
        <v>1653609</v>
      </c>
      <c r="J253" s="4">
        <v>1653609</v>
      </c>
      <c r="K253" s="4">
        <v>1659496</v>
      </c>
      <c r="L253" s="4">
        <v>1658584</v>
      </c>
      <c r="M253" s="4">
        <v>0</v>
      </c>
      <c r="N253" s="4">
        <v>-4975</v>
      </c>
      <c r="O253" s="4">
        <v>0</v>
      </c>
      <c r="P253" s="24">
        <v>-4975</v>
      </c>
      <c r="Q253" s="4">
        <v>0</v>
      </c>
      <c r="R253" s="4">
        <v>1653609</v>
      </c>
      <c r="S253" s="4">
        <v>0</v>
      </c>
      <c r="T253" s="4">
        <v>0</v>
      </c>
      <c r="U253" s="24">
        <v>0</v>
      </c>
      <c r="V253" s="4">
        <v>25675</v>
      </c>
      <c r="W253" s="14">
        <v>53195</v>
      </c>
      <c r="X253" s="2"/>
      <c r="Y253" s="5" t="s">
        <v>2</v>
      </c>
      <c r="Z253" s="5" t="s">
        <v>2674</v>
      </c>
      <c r="AA253" s="5" t="s">
        <v>824</v>
      </c>
      <c r="AB253" s="21" t="s">
        <v>2</v>
      </c>
      <c r="AC253" s="54" t="s">
        <v>4179</v>
      </c>
    </row>
    <row r="254" spans="2:29" x14ac:dyDescent="0.3">
      <c r="B254" s="18" t="s">
        <v>3380</v>
      </c>
      <c r="C254" s="47" t="s">
        <v>3635</v>
      </c>
      <c r="D254" s="15" t="s">
        <v>2237</v>
      </c>
      <c r="E254" s="55" t="s">
        <v>2</v>
      </c>
      <c r="F254" s="14">
        <v>44648</v>
      </c>
      <c r="G254" s="5" t="s">
        <v>2721</v>
      </c>
      <c r="H254" s="2"/>
      <c r="I254" s="4">
        <v>2792150</v>
      </c>
      <c r="J254" s="4">
        <v>2775000</v>
      </c>
      <c r="K254" s="4">
        <v>2821676</v>
      </c>
      <c r="L254" s="4">
        <v>2792540</v>
      </c>
      <c r="M254" s="4">
        <v>0</v>
      </c>
      <c r="N254" s="4">
        <v>-1767</v>
      </c>
      <c r="O254" s="4">
        <v>0</v>
      </c>
      <c r="P254" s="24">
        <v>-1767</v>
      </c>
      <c r="Q254" s="4">
        <v>0</v>
      </c>
      <c r="R254" s="4">
        <v>2790773</v>
      </c>
      <c r="S254" s="4">
        <v>0</v>
      </c>
      <c r="T254" s="4">
        <v>1376</v>
      </c>
      <c r="U254" s="24">
        <v>1376</v>
      </c>
      <c r="V254" s="4">
        <v>62428</v>
      </c>
      <c r="W254" s="14">
        <v>45536</v>
      </c>
      <c r="X254" s="2"/>
      <c r="Y254" s="5" t="s">
        <v>1389</v>
      </c>
      <c r="Z254" s="5" t="s">
        <v>1390</v>
      </c>
      <c r="AA254" s="5" t="s">
        <v>2</v>
      </c>
      <c r="AB254" s="21" t="s">
        <v>2</v>
      </c>
      <c r="AC254" s="54" t="s">
        <v>4179</v>
      </c>
    </row>
    <row r="255" spans="2:29" x14ac:dyDescent="0.3">
      <c r="B255" s="18" t="s">
        <v>4516</v>
      </c>
      <c r="C255" s="47" t="s">
        <v>489</v>
      </c>
      <c r="D255" s="15" t="s">
        <v>4007</v>
      </c>
      <c r="E255" s="55" t="s">
        <v>2</v>
      </c>
      <c r="F255" s="14">
        <v>44867</v>
      </c>
      <c r="G255" s="5" t="s">
        <v>200</v>
      </c>
      <c r="H255" s="2"/>
      <c r="I255" s="4">
        <v>1461255</v>
      </c>
      <c r="J255" s="4">
        <v>1500000</v>
      </c>
      <c r="K255" s="4">
        <v>1417740</v>
      </c>
      <c r="L255" s="4">
        <v>1470449</v>
      </c>
      <c r="M255" s="4">
        <v>0</v>
      </c>
      <c r="N255" s="4">
        <v>13614</v>
      </c>
      <c r="O255" s="4">
        <v>0</v>
      </c>
      <c r="P255" s="24">
        <v>13614</v>
      </c>
      <c r="Q255" s="4">
        <v>0</v>
      </c>
      <c r="R255" s="4">
        <v>1484063</v>
      </c>
      <c r="S255" s="4">
        <v>0</v>
      </c>
      <c r="T255" s="4">
        <v>-22808</v>
      </c>
      <c r="U255" s="24">
        <v>-22808</v>
      </c>
      <c r="V255" s="4">
        <v>35250</v>
      </c>
      <c r="W255" s="14">
        <v>45217</v>
      </c>
      <c r="X255" s="2"/>
      <c r="Y255" s="5" t="s">
        <v>610</v>
      </c>
      <c r="Z255" s="5" t="s">
        <v>4007</v>
      </c>
      <c r="AA255" s="5" t="s">
        <v>2</v>
      </c>
      <c r="AB255" s="21" t="s">
        <v>2</v>
      </c>
      <c r="AC255" s="54" t="s">
        <v>4179</v>
      </c>
    </row>
    <row r="256" spans="2:29" x14ac:dyDescent="0.3">
      <c r="B256" s="18" t="s">
        <v>1123</v>
      </c>
      <c r="C256" s="47" t="s">
        <v>4429</v>
      </c>
      <c r="D256" s="15" t="s">
        <v>3583</v>
      </c>
      <c r="E256" s="55" t="s">
        <v>2</v>
      </c>
      <c r="F256" s="14">
        <v>44915</v>
      </c>
      <c r="G256" s="5" t="s">
        <v>2704</v>
      </c>
      <c r="H256" s="2"/>
      <c r="I256" s="4">
        <v>849981</v>
      </c>
      <c r="J256" s="4">
        <v>849981</v>
      </c>
      <c r="K256" s="4">
        <v>849823</v>
      </c>
      <c r="L256" s="4">
        <v>849713</v>
      </c>
      <c r="M256" s="4">
        <v>0</v>
      </c>
      <c r="N256" s="4">
        <v>268</v>
      </c>
      <c r="O256" s="4">
        <v>0</v>
      </c>
      <c r="P256" s="24">
        <v>268</v>
      </c>
      <c r="Q256" s="4">
        <v>0</v>
      </c>
      <c r="R256" s="4">
        <v>849981</v>
      </c>
      <c r="S256" s="4">
        <v>0</v>
      </c>
      <c r="T256" s="4">
        <v>0</v>
      </c>
      <c r="U256" s="24">
        <v>0</v>
      </c>
      <c r="V256" s="4">
        <v>-3231</v>
      </c>
      <c r="W256" s="14">
        <v>53225</v>
      </c>
      <c r="X256" s="2"/>
      <c r="Y256" s="5" t="s">
        <v>2</v>
      </c>
      <c r="Z256" s="5" t="s">
        <v>2675</v>
      </c>
      <c r="AA256" s="5" t="s">
        <v>824</v>
      </c>
      <c r="AB256" s="21" t="s">
        <v>2</v>
      </c>
      <c r="AC256" s="54" t="s">
        <v>4179</v>
      </c>
    </row>
    <row r="257" spans="2:29" x14ac:dyDescent="0.3">
      <c r="B257" s="18" t="s">
        <v>2238</v>
      </c>
      <c r="C257" s="47" t="s">
        <v>2451</v>
      </c>
      <c r="D257" s="15" t="s">
        <v>3583</v>
      </c>
      <c r="E257" s="55" t="s">
        <v>2</v>
      </c>
      <c r="F257" s="14">
        <v>44915</v>
      </c>
      <c r="G257" s="5" t="s">
        <v>2704</v>
      </c>
      <c r="H257" s="2"/>
      <c r="I257" s="4">
        <v>425000</v>
      </c>
      <c r="J257" s="4">
        <v>425000</v>
      </c>
      <c r="K257" s="4">
        <v>424925</v>
      </c>
      <c r="L257" s="4">
        <v>424934</v>
      </c>
      <c r="M257" s="4">
        <v>0</v>
      </c>
      <c r="N257" s="4">
        <v>66</v>
      </c>
      <c r="O257" s="4">
        <v>0</v>
      </c>
      <c r="P257" s="24">
        <v>66</v>
      </c>
      <c r="Q257" s="4">
        <v>0</v>
      </c>
      <c r="R257" s="4">
        <v>425000</v>
      </c>
      <c r="S257" s="4">
        <v>0</v>
      </c>
      <c r="T257" s="4">
        <v>0</v>
      </c>
      <c r="U257" s="24">
        <v>0</v>
      </c>
      <c r="V257" s="4">
        <v>8610</v>
      </c>
      <c r="W257" s="14">
        <v>53225</v>
      </c>
      <c r="X257" s="2"/>
      <c r="Y257" s="5" t="s">
        <v>2</v>
      </c>
      <c r="Z257" s="5" t="s">
        <v>2675</v>
      </c>
      <c r="AA257" s="5" t="s">
        <v>824</v>
      </c>
      <c r="AB257" s="21" t="s">
        <v>2</v>
      </c>
      <c r="AC257" s="54" t="s">
        <v>4179</v>
      </c>
    </row>
    <row r="258" spans="2:29" x14ac:dyDescent="0.3">
      <c r="B258" s="18" t="s">
        <v>4164</v>
      </c>
      <c r="C258" s="47" t="s">
        <v>490</v>
      </c>
      <c r="D258" s="15" t="s">
        <v>242</v>
      </c>
      <c r="E258" s="55" t="s">
        <v>2</v>
      </c>
      <c r="F258" s="14">
        <v>44762</v>
      </c>
      <c r="G258" s="5" t="s">
        <v>4481</v>
      </c>
      <c r="H258" s="2"/>
      <c r="I258" s="4">
        <v>5004300</v>
      </c>
      <c r="J258" s="4">
        <v>5000000</v>
      </c>
      <c r="K258" s="4">
        <v>4993050</v>
      </c>
      <c r="L258" s="4">
        <v>4997426</v>
      </c>
      <c r="M258" s="4">
        <v>0</v>
      </c>
      <c r="N258" s="4">
        <v>807</v>
      </c>
      <c r="O258" s="4">
        <v>0</v>
      </c>
      <c r="P258" s="24">
        <v>807</v>
      </c>
      <c r="Q258" s="4">
        <v>0</v>
      </c>
      <c r="R258" s="4">
        <v>4998233</v>
      </c>
      <c r="S258" s="4">
        <v>0</v>
      </c>
      <c r="T258" s="4">
        <v>6067</v>
      </c>
      <c r="U258" s="24">
        <v>6067</v>
      </c>
      <c r="V258" s="4">
        <v>159250</v>
      </c>
      <c r="W258" s="14">
        <v>45197</v>
      </c>
      <c r="X258" s="2"/>
      <c r="Y258" s="5" t="s">
        <v>2</v>
      </c>
      <c r="Z258" s="5" t="s">
        <v>243</v>
      </c>
      <c r="AA258" s="5" t="s">
        <v>2</v>
      </c>
      <c r="AB258" s="21" t="s">
        <v>2</v>
      </c>
      <c r="AC258" s="54" t="s">
        <v>4179</v>
      </c>
    </row>
    <row r="259" spans="2:29" x14ac:dyDescent="0.3">
      <c r="B259" s="18" t="s">
        <v>761</v>
      </c>
      <c r="C259" s="47" t="s">
        <v>244</v>
      </c>
      <c r="D259" s="15" t="s">
        <v>245</v>
      </c>
      <c r="E259" s="55" t="s">
        <v>2</v>
      </c>
      <c r="F259" s="14">
        <v>44798</v>
      </c>
      <c r="G259" s="5" t="s">
        <v>1058</v>
      </c>
      <c r="H259" s="2"/>
      <c r="I259" s="4">
        <v>4967950</v>
      </c>
      <c r="J259" s="4">
        <v>5000000</v>
      </c>
      <c r="K259" s="4">
        <v>4982350</v>
      </c>
      <c r="L259" s="4">
        <v>4988995</v>
      </c>
      <c r="M259" s="4">
        <v>0</v>
      </c>
      <c r="N259" s="4">
        <v>1623</v>
      </c>
      <c r="O259" s="4">
        <v>0</v>
      </c>
      <c r="P259" s="24">
        <v>1623</v>
      </c>
      <c r="Q259" s="4">
        <v>0</v>
      </c>
      <c r="R259" s="4">
        <v>4990618</v>
      </c>
      <c r="S259" s="4">
        <v>0</v>
      </c>
      <c r="T259" s="4">
        <v>-22668</v>
      </c>
      <c r="U259" s="24">
        <v>-22668</v>
      </c>
      <c r="V259" s="4">
        <v>198889</v>
      </c>
      <c r="W259" s="14">
        <v>46082</v>
      </c>
      <c r="X259" s="2"/>
      <c r="Y259" s="5" t="s">
        <v>2</v>
      </c>
      <c r="Z259" s="5" t="s">
        <v>243</v>
      </c>
      <c r="AA259" s="5" t="s">
        <v>2</v>
      </c>
      <c r="AB259" s="21" t="s">
        <v>2</v>
      </c>
      <c r="AC259" s="54" t="s">
        <v>4179</v>
      </c>
    </row>
    <row r="260" spans="2:29" x14ac:dyDescent="0.3">
      <c r="B260" s="18" t="s">
        <v>1897</v>
      </c>
      <c r="C260" s="47" t="s">
        <v>4011</v>
      </c>
      <c r="D260" s="15" t="s">
        <v>762</v>
      </c>
      <c r="E260" s="55" t="s">
        <v>2</v>
      </c>
      <c r="F260" s="14">
        <v>44658</v>
      </c>
      <c r="G260" s="5" t="s">
        <v>1349</v>
      </c>
      <c r="H260" s="2"/>
      <c r="I260" s="4">
        <v>4998250</v>
      </c>
      <c r="J260" s="4">
        <v>5000000</v>
      </c>
      <c r="K260" s="4">
        <v>4950350</v>
      </c>
      <c r="L260" s="4">
        <v>4982306</v>
      </c>
      <c r="M260" s="4">
        <v>0</v>
      </c>
      <c r="N260" s="4">
        <v>1828</v>
      </c>
      <c r="O260" s="4">
        <v>0</v>
      </c>
      <c r="P260" s="24">
        <v>1828</v>
      </c>
      <c r="Q260" s="4">
        <v>0</v>
      </c>
      <c r="R260" s="4">
        <v>4984134</v>
      </c>
      <c r="S260" s="4">
        <v>0</v>
      </c>
      <c r="T260" s="4">
        <v>14116</v>
      </c>
      <c r="U260" s="24">
        <v>14116</v>
      </c>
      <c r="V260" s="4">
        <v>52650</v>
      </c>
      <c r="W260" s="14">
        <v>45417</v>
      </c>
      <c r="X260" s="2"/>
      <c r="Y260" s="5" t="s">
        <v>958</v>
      </c>
      <c r="Z260" s="5" t="s">
        <v>1755</v>
      </c>
      <c r="AA260" s="5" t="s">
        <v>2</v>
      </c>
      <c r="AB260" s="21" t="s">
        <v>2</v>
      </c>
      <c r="AC260" s="54" t="s">
        <v>4179</v>
      </c>
    </row>
    <row r="261" spans="2:29" x14ac:dyDescent="0.3">
      <c r="B261" s="18" t="s">
        <v>3038</v>
      </c>
      <c r="C261" s="47" t="s">
        <v>430</v>
      </c>
      <c r="D261" s="15" t="s">
        <v>2452</v>
      </c>
      <c r="E261" s="55" t="s">
        <v>2</v>
      </c>
      <c r="F261" s="14">
        <v>44693</v>
      </c>
      <c r="G261" s="5" t="s">
        <v>2224</v>
      </c>
      <c r="H261" s="2"/>
      <c r="I261" s="4">
        <v>284290</v>
      </c>
      <c r="J261" s="4">
        <v>284290</v>
      </c>
      <c r="K261" s="4">
        <v>294892</v>
      </c>
      <c r="L261" s="4">
        <v>292598</v>
      </c>
      <c r="M261" s="4">
        <v>0</v>
      </c>
      <c r="N261" s="4">
        <v>-8307</v>
      </c>
      <c r="O261" s="4">
        <v>0</v>
      </c>
      <c r="P261" s="24">
        <v>-8307</v>
      </c>
      <c r="Q261" s="4">
        <v>0</v>
      </c>
      <c r="R261" s="4">
        <v>284290</v>
      </c>
      <c r="S261" s="4">
        <v>0</v>
      </c>
      <c r="T261" s="4">
        <v>0</v>
      </c>
      <c r="U261" s="24">
        <v>0</v>
      </c>
      <c r="V261" s="4">
        <v>3831</v>
      </c>
      <c r="W261" s="14">
        <v>46519</v>
      </c>
      <c r="X261" s="2"/>
      <c r="Y261" s="5" t="s">
        <v>2</v>
      </c>
      <c r="Z261" s="5" t="s">
        <v>3813</v>
      </c>
      <c r="AA261" s="5" t="s">
        <v>3813</v>
      </c>
      <c r="AB261" s="21" t="s">
        <v>2</v>
      </c>
      <c r="AC261" s="54" t="s">
        <v>4179</v>
      </c>
    </row>
    <row r="262" spans="2:29" x14ac:dyDescent="0.3">
      <c r="B262" s="18" t="s">
        <v>4165</v>
      </c>
      <c r="C262" s="47" t="s">
        <v>4092</v>
      </c>
      <c r="D262" s="15" t="s">
        <v>3814</v>
      </c>
      <c r="E262" s="55" t="s">
        <v>2</v>
      </c>
      <c r="F262" s="14">
        <v>44866</v>
      </c>
      <c r="G262" s="5" t="s">
        <v>2224</v>
      </c>
      <c r="H262" s="2"/>
      <c r="I262" s="4">
        <v>255270</v>
      </c>
      <c r="J262" s="4">
        <v>255270</v>
      </c>
      <c r="K262" s="4">
        <v>256224</v>
      </c>
      <c r="L262" s="4">
        <v>256099</v>
      </c>
      <c r="M262" s="4">
        <v>0</v>
      </c>
      <c r="N262" s="4">
        <v>-830</v>
      </c>
      <c r="O262" s="4">
        <v>0</v>
      </c>
      <c r="P262" s="24">
        <v>-830</v>
      </c>
      <c r="Q262" s="4">
        <v>0</v>
      </c>
      <c r="R262" s="4">
        <v>255270</v>
      </c>
      <c r="S262" s="4">
        <v>0</v>
      </c>
      <c r="T262" s="4">
        <v>0</v>
      </c>
      <c r="U262" s="24">
        <v>0</v>
      </c>
      <c r="V262" s="4">
        <v>5169</v>
      </c>
      <c r="W262" s="14">
        <v>48335</v>
      </c>
      <c r="X262" s="2"/>
      <c r="Y262" s="5" t="s">
        <v>2</v>
      </c>
      <c r="Z262" s="5" t="s">
        <v>1551</v>
      </c>
      <c r="AA262" s="5" t="s">
        <v>1551</v>
      </c>
      <c r="AB262" s="21" t="s">
        <v>2</v>
      </c>
      <c r="AC262" s="54" t="s">
        <v>4179</v>
      </c>
    </row>
    <row r="263" spans="2:29" x14ac:dyDescent="0.3">
      <c r="B263" s="18" t="s">
        <v>1124</v>
      </c>
      <c r="C263" s="47" t="s">
        <v>1602</v>
      </c>
      <c r="D263" s="15" t="s">
        <v>961</v>
      </c>
      <c r="E263" s="55" t="s">
        <v>2</v>
      </c>
      <c r="F263" s="14">
        <v>44662</v>
      </c>
      <c r="G263" s="5" t="s">
        <v>3313</v>
      </c>
      <c r="H263" s="2"/>
      <c r="I263" s="4">
        <v>5026000</v>
      </c>
      <c r="J263" s="4">
        <v>5000000</v>
      </c>
      <c r="K263" s="4">
        <v>5011050</v>
      </c>
      <c r="L263" s="4">
        <v>5002856</v>
      </c>
      <c r="M263" s="4">
        <v>0</v>
      </c>
      <c r="N263" s="4">
        <v>-884</v>
      </c>
      <c r="O263" s="4">
        <v>0</v>
      </c>
      <c r="P263" s="24">
        <v>-884</v>
      </c>
      <c r="Q263" s="4">
        <v>0</v>
      </c>
      <c r="R263" s="4">
        <v>5001971</v>
      </c>
      <c r="S263" s="4">
        <v>0</v>
      </c>
      <c r="T263" s="4">
        <v>24029</v>
      </c>
      <c r="U263" s="24">
        <v>24029</v>
      </c>
      <c r="V263" s="4">
        <v>90903</v>
      </c>
      <c r="W263" s="14">
        <v>44972</v>
      </c>
      <c r="X263" s="2"/>
      <c r="Y263" s="5" t="s">
        <v>4016</v>
      </c>
      <c r="Z263" s="5" t="s">
        <v>961</v>
      </c>
      <c r="AA263" s="5" t="s">
        <v>2</v>
      </c>
      <c r="AB263" s="21" t="s">
        <v>2</v>
      </c>
      <c r="AC263" s="54" t="s">
        <v>4179</v>
      </c>
    </row>
    <row r="264" spans="2:29" x14ac:dyDescent="0.3">
      <c r="B264" s="18" t="s">
        <v>2239</v>
      </c>
      <c r="C264" s="47" t="s">
        <v>1125</v>
      </c>
      <c r="D264" s="15" t="s">
        <v>961</v>
      </c>
      <c r="E264" s="55" t="s">
        <v>2</v>
      </c>
      <c r="F264" s="14">
        <v>44757</v>
      </c>
      <c r="G264" s="5" t="s">
        <v>730</v>
      </c>
      <c r="H264" s="2"/>
      <c r="I264" s="4">
        <v>5000000</v>
      </c>
      <c r="J264" s="4">
        <v>5000000</v>
      </c>
      <c r="K264" s="4">
        <v>4993850</v>
      </c>
      <c r="L264" s="4">
        <v>4999470</v>
      </c>
      <c r="M264" s="4">
        <v>0</v>
      </c>
      <c r="N264" s="4">
        <v>530</v>
      </c>
      <c r="O264" s="4">
        <v>0</v>
      </c>
      <c r="P264" s="24">
        <v>530</v>
      </c>
      <c r="Q264" s="4">
        <v>0</v>
      </c>
      <c r="R264" s="4">
        <v>5000000</v>
      </c>
      <c r="S264" s="4">
        <v>0</v>
      </c>
      <c r="T264" s="4">
        <v>0</v>
      </c>
      <c r="U264" s="24">
        <v>0</v>
      </c>
      <c r="V264" s="4">
        <v>167500</v>
      </c>
      <c r="W264" s="14">
        <v>44757</v>
      </c>
      <c r="X264" s="2"/>
      <c r="Y264" s="5" t="s">
        <v>4016</v>
      </c>
      <c r="Z264" s="5" t="s">
        <v>961</v>
      </c>
      <c r="AA264" s="5" t="s">
        <v>2</v>
      </c>
      <c r="AB264" s="21" t="s">
        <v>2</v>
      </c>
      <c r="AC264" s="54" t="s">
        <v>4179</v>
      </c>
    </row>
    <row r="265" spans="2:29" x14ac:dyDescent="0.3">
      <c r="B265" s="18" t="s">
        <v>3381</v>
      </c>
      <c r="C265" s="47" t="s">
        <v>1126</v>
      </c>
      <c r="D265" s="15" t="s">
        <v>961</v>
      </c>
      <c r="E265" s="55" t="s">
        <v>2</v>
      </c>
      <c r="F265" s="14">
        <v>44866</v>
      </c>
      <c r="G265" s="5" t="s">
        <v>4454</v>
      </c>
      <c r="H265" s="2"/>
      <c r="I265" s="4">
        <v>4954000</v>
      </c>
      <c r="J265" s="4">
        <v>5000000</v>
      </c>
      <c r="K265" s="4">
        <v>4997500</v>
      </c>
      <c r="L265" s="4">
        <v>4999220</v>
      </c>
      <c r="M265" s="4">
        <v>0</v>
      </c>
      <c r="N265" s="4">
        <v>445</v>
      </c>
      <c r="O265" s="4">
        <v>0</v>
      </c>
      <c r="P265" s="24">
        <v>445</v>
      </c>
      <c r="Q265" s="4">
        <v>0</v>
      </c>
      <c r="R265" s="4">
        <v>4999665</v>
      </c>
      <c r="S265" s="4">
        <v>0</v>
      </c>
      <c r="T265" s="4">
        <v>-45665</v>
      </c>
      <c r="U265" s="24">
        <v>-45665</v>
      </c>
      <c r="V265" s="4">
        <v>154583</v>
      </c>
      <c r="W265" s="14">
        <v>45092</v>
      </c>
      <c r="X265" s="2"/>
      <c r="Y265" s="5" t="s">
        <v>4016</v>
      </c>
      <c r="Z265" s="5" t="s">
        <v>961</v>
      </c>
      <c r="AA265" s="5" t="s">
        <v>2</v>
      </c>
      <c r="AB265" s="21" t="s">
        <v>2</v>
      </c>
      <c r="AC265" s="54" t="s">
        <v>4179</v>
      </c>
    </row>
    <row r="266" spans="2:29" x14ac:dyDescent="0.3">
      <c r="B266" s="18" t="s">
        <v>4517</v>
      </c>
      <c r="C266" s="47" t="s">
        <v>3815</v>
      </c>
      <c r="D266" s="15" t="s">
        <v>431</v>
      </c>
      <c r="E266" s="55" t="s">
        <v>2</v>
      </c>
      <c r="F266" s="14">
        <v>44915</v>
      </c>
      <c r="G266" s="5" t="s">
        <v>2704</v>
      </c>
      <c r="H266" s="2"/>
      <c r="I266" s="4">
        <v>985894</v>
      </c>
      <c r="J266" s="4">
        <v>985894</v>
      </c>
      <c r="K266" s="4">
        <v>992962</v>
      </c>
      <c r="L266" s="4">
        <v>990808</v>
      </c>
      <c r="M266" s="4">
        <v>0</v>
      </c>
      <c r="N266" s="4">
        <v>-4914</v>
      </c>
      <c r="O266" s="4">
        <v>0</v>
      </c>
      <c r="P266" s="24">
        <v>-4914</v>
      </c>
      <c r="Q266" s="4">
        <v>0</v>
      </c>
      <c r="R266" s="4">
        <v>985894</v>
      </c>
      <c r="S266" s="4">
        <v>0</v>
      </c>
      <c r="T266" s="4">
        <v>0</v>
      </c>
      <c r="U266" s="24">
        <v>0</v>
      </c>
      <c r="V266" s="4">
        <v>17383</v>
      </c>
      <c r="W266" s="14">
        <v>49725</v>
      </c>
      <c r="X266" s="2"/>
      <c r="Y266" s="5" t="s">
        <v>2</v>
      </c>
      <c r="Z266" s="5" t="s">
        <v>4431</v>
      </c>
      <c r="AA266" s="5" t="s">
        <v>824</v>
      </c>
      <c r="AB266" s="21" t="s">
        <v>2</v>
      </c>
      <c r="AC266" s="54" t="s">
        <v>4179</v>
      </c>
    </row>
    <row r="267" spans="2:29" x14ac:dyDescent="0.3">
      <c r="B267" s="18" t="s">
        <v>1127</v>
      </c>
      <c r="C267" s="47" t="s">
        <v>1603</v>
      </c>
      <c r="D267" s="15" t="s">
        <v>2877</v>
      </c>
      <c r="E267" s="55" t="s">
        <v>2</v>
      </c>
      <c r="F267" s="14">
        <v>44817</v>
      </c>
      <c r="G267" s="5" t="s">
        <v>1861</v>
      </c>
      <c r="H267" s="2"/>
      <c r="I267" s="4">
        <v>4286599</v>
      </c>
      <c r="J267" s="4">
        <v>4398000</v>
      </c>
      <c r="K267" s="4">
        <v>4004819</v>
      </c>
      <c r="L267" s="4">
        <v>4143766</v>
      </c>
      <c r="M267" s="4">
        <v>0</v>
      </c>
      <c r="N267" s="4">
        <v>34275</v>
      </c>
      <c r="O267" s="4">
        <v>0</v>
      </c>
      <c r="P267" s="24">
        <v>34275</v>
      </c>
      <c r="Q267" s="4">
        <v>0</v>
      </c>
      <c r="R267" s="4">
        <v>4178042</v>
      </c>
      <c r="S267" s="4">
        <v>0</v>
      </c>
      <c r="T267" s="4">
        <v>108557</v>
      </c>
      <c r="U267" s="24">
        <v>108557</v>
      </c>
      <c r="V267" s="4">
        <v>148701</v>
      </c>
      <c r="W267" s="14">
        <v>46280</v>
      </c>
      <c r="X267" s="2"/>
      <c r="Y267" s="5" t="s">
        <v>4017</v>
      </c>
      <c r="Z267" s="5" t="s">
        <v>3739</v>
      </c>
      <c r="AA267" s="5" t="s">
        <v>121</v>
      </c>
      <c r="AB267" s="21" t="s">
        <v>2</v>
      </c>
      <c r="AC267" s="54" t="s">
        <v>4179</v>
      </c>
    </row>
    <row r="268" spans="2:29" x14ac:dyDescent="0.3">
      <c r="B268" s="18" t="s">
        <v>3039</v>
      </c>
      <c r="C268" s="47" t="s">
        <v>2240</v>
      </c>
      <c r="D268" s="15" t="s">
        <v>3878</v>
      </c>
      <c r="E268" s="55" t="s">
        <v>2</v>
      </c>
      <c r="F268" s="14">
        <v>44817</v>
      </c>
      <c r="G268" s="5" t="s">
        <v>1861</v>
      </c>
      <c r="H268" s="2"/>
      <c r="I268" s="4">
        <v>6018120</v>
      </c>
      <c r="J268" s="4">
        <v>6000000</v>
      </c>
      <c r="K268" s="4">
        <v>5960578</v>
      </c>
      <c r="L268" s="4">
        <v>5974512</v>
      </c>
      <c r="M268" s="4">
        <v>0</v>
      </c>
      <c r="N268" s="4">
        <v>-14845</v>
      </c>
      <c r="O268" s="4">
        <v>0</v>
      </c>
      <c r="P268" s="24">
        <v>-14845</v>
      </c>
      <c r="Q268" s="4">
        <v>0</v>
      </c>
      <c r="R268" s="4">
        <v>5959668</v>
      </c>
      <c r="S268" s="4">
        <v>0</v>
      </c>
      <c r="T268" s="4">
        <v>40332</v>
      </c>
      <c r="U268" s="24">
        <v>40332</v>
      </c>
      <c r="V268" s="4">
        <v>213537</v>
      </c>
      <c r="W268" s="14">
        <v>46371</v>
      </c>
      <c r="X268" s="2"/>
      <c r="Y268" s="5" t="s">
        <v>1898</v>
      </c>
      <c r="Z268" s="5" t="s">
        <v>3878</v>
      </c>
      <c r="AA268" s="5" t="s">
        <v>2</v>
      </c>
      <c r="AB268" s="21" t="s">
        <v>2</v>
      </c>
      <c r="AC268" s="54" t="s">
        <v>4179</v>
      </c>
    </row>
    <row r="269" spans="2:29" x14ac:dyDescent="0.3">
      <c r="B269" s="18" t="s">
        <v>4166</v>
      </c>
      <c r="C269" s="47" t="s">
        <v>3382</v>
      </c>
      <c r="D269" s="15" t="s">
        <v>2726</v>
      </c>
      <c r="E269" s="55" t="s">
        <v>2</v>
      </c>
      <c r="F269" s="14">
        <v>44762</v>
      </c>
      <c r="G269" s="5" t="s">
        <v>2704</v>
      </c>
      <c r="H269" s="2"/>
      <c r="I269" s="4">
        <v>4500000</v>
      </c>
      <c r="J269" s="4">
        <v>4500000</v>
      </c>
      <c r="K269" s="4">
        <v>4498973</v>
      </c>
      <c r="L269" s="4">
        <v>4499639</v>
      </c>
      <c r="M269" s="4">
        <v>0</v>
      </c>
      <c r="N269" s="4">
        <v>361</v>
      </c>
      <c r="O269" s="4">
        <v>0</v>
      </c>
      <c r="P269" s="24">
        <v>361</v>
      </c>
      <c r="Q269" s="4">
        <v>0</v>
      </c>
      <c r="R269" s="4">
        <v>4500000</v>
      </c>
      <c r="S269" s="4">
        <v>0</v>
      </c>
      <c r="T269" s="4">
        <v>0</v>
      </c>
      <c r="U269" s="24">
        <v>0</v>
      </c>
      <c r="V269" s="4">
        <v>84525</v>
      </c>
      <c r="W269" s="14">
        <v>45189</v>
      </c>
      <c r="X269" s="2"/>
      <c r="Y269" s="5" t="s">
        <v>2</v>
      </c>
      <c r="Z269" s="5" t="s">
        <v>2726</v>
      </c>
      <c r="AA269" s="5" t="s">
        <v>2</v>
      </c>
      <c r="AB269" s="21" t="s">
        <v>2</v>
      </c>
      <c r="AC269" s="54" t="s">
        <v>4179</v>
      </c>
    </row>
    <row r="270" spans="2:29" x14ac:dyDescent="0.3">
      <c r="B270" s="18" t="s">
        <v>763</v>
      </c>
      <c r="C270" s="47" t="s">
        <v>1128</v>
      </c>
      <c r="D270" s="15" t="s">
        <v>246</v>
      </c>
      <c r="E270" s="55" t="s">
        <v>2</v>
      </c>
      <c r="F270" s="14">
        <v>44866</v>
      </c>
      <c r="G270" s="5" t="s">
        <v>4461</v>
      </c>
      <c r="H270" s="2"/>
      <c r="I270" s="4">
        <v>9321133</v>
      </c>
      <c r="J270" s="4">
        <v>9500000</v>
      </c>
      <c r="K270" s="4">
        <v>9498226</v>
      </c>
      <c r="L270" s="4">
        <v>9499097</v>
      </c>
      <c r="M270" s="4">
        <v>0</v>
      </c>
      <c r="N270" s="4">
        <v>355</v>
      </c>
      <c r="O270" s="4">
        <v>0</v>
      </c>
      <c r="P270" s="24">
        <v>355</v>
      </c>
      <c r="Q270" s="4">
        <v>0</v>
      </c>
      <c r="R270" s="4">
        <v>9499452</v>
      </c>
      <c r="S270" s="4">
        <v>0</v>
      </c>
      <c r="T270" s="4">
        <v>-178319</v>
      </c>
      <c r="U270" s="24">
        <v>-178319</v>
      </c>
      <c r="V270" s="4">
        <v>170150</v>
      </c>
      <c r="W270" s="14">
        <v>45495</v>
      </c>
      <c r="X270" s="2"/>
      <c r="Y270" s="5" t="s">
        <v>2</v>
      </c>
      <c r="Z270" s="5" t="s">
        <v>246</v>
      </c>
      <c r="AA270" s="5" t="s">
        <v>2</v>
      </c>
      <c r="AB270" s="21" t="s">
        <v>2</v>
      </c>
      <c r="AC270" s="54" t="s">
        <v>4179</v>
      </c>
    </row>
    <row r="271" spans="2:29" x14ac:dyDescent="0.3">
      <c r="B271" s="18" t="s">
        <v>2241</v>
      </c>
      <c r="C271" s="47" t="s">
        <v>3636</v>
      </c>
      <c r="D271" s="15" t="s">
        <v>491</v>
      </c>
      <c r="E271" s="55" t="s">
        <v>2</v>
      </c>
      <c r="F271" s="14">
        <v>44581</v>
      </c>
      <c r="G271" s="5" t="s">
        <v>2704</v>
      </c>
      <c r="H271" s="2"/>
      <c r="I271" s="4">
        <v>10000000</v>
      </c>
      <c r="J271" s="4">
        <v>10000000</v>
      </c>
      <c r="K271" s="4">
        <v>9998188</v>
      </c>
      <c r="L271" s="4">
        <v>9999798</v>
      </c>
      <c r="M271" s="4">
        <v>0</v>
      </c>
      <c r="N271" s="4">
        <v>202</v>
      </c>
      <c r="O271" s="4">
        <v>0</v>
      </c>
      <c r="P271" s="24">
        <v>202</v>
      </c>
      <c r="Q271" s="4">
        <v>0</v>
      </c>
      <c r="R271" s="4">
        <v>10000000</v>
      </c>
      <c r="S271" s="4">
        <v>0</v>
      </c>
      <c r="T271" s="4">
        <v>0</v>
      </c>
      <c r="U271" s="24">
        <v>0</v>
      </c>
      <c r="V271" s="4">
        <v>29583</v>
      </c>
      <c r="W271" s="14">
        <v>45036</v>
      </c>
      <c r="X271" s="2"/>
      <c r="Y271" s="5" t="s">
        <v>2</v>
      </c>
      <c r="Z271" s="5" t="s">
        <v>491</v>
      </c>
      <c r="AA271" s="5" t="s">
        <v>2</v>
      </c>
      <c r="AB271" s="21" t="s">
        <v>2</v>
      </c>
      <c r="AC271" s="54" t="s">
        <v>4179</v>
      </c>
    </row>
    <row r="272" spans="2:29" x14ac:dyDescent="0.3">
      <c r="B272" s="18" t="s">
        <v>3383</v>
      </c>
      <c r="C272" s="47" t="s">
        <v>3637</v>
      </c>
      <c r="D272" s="15" t="s">
        <v>3284</v>
      </c>
      <c r="E272" s="55" t="s">
        <v>2</v>
      </c>
      <c r="F272" s="14">
        <v>44819</v>
      </c>
      <c r="G272" s="5" t="s">
        <v>2704</v>
      </c>
      <c r="H272" s="2"/>
      <c r="I272" s="4">
        <v>3650000</v>
      </c>
      <c r="J272" s="4">
        <v>3650000</v>
      </c>
      <c r="K272" s="4">
        <v>3648954</v>
      </c>
      <c r="L272" s="4">
        <v>3649527</v>
      </c>
      <c r="M272" s="4">
        <v>0</v>
      </c>
      <c r="N272" s="4">
        <v>473</v>
      </c>
      <c r="O272" s="4">
        <v>0</v>
      </c>
      <c r="P272" s="24">
        <v>473</v>
      </c>
      <c r="Q272" s="4">
        <v>0</v>
      </c>
      <c r="R272" s="4">
        <v>3650000</v>
      </c>
      <c r="S272" s="4">
        <v>0</v>
      </c>
      <c r="T272" s="4">
        <v>0</v>
      </c>
      <c r="U272" s="24">
        <v>0</v>
      </c>
      <c r="V272" s="4">
        <v>89242</v>
      </c>
      <c r="W272" s="14">
        <v>45307</v>
      </c>
      <c r="X272" s="2"/>
      <c r="Y272" s="5" t="s">
        <v>2</v>
      </c>
      <c r="Z272" s="5" t="s">
        <v>2150</v>
      </c>
      <c r="AA272" s="5" t="s">
        <v>824</v>
      </c>
      <c r="AB272" s="21" t="s">
        <v>2</v>
      </c>
      <c r="AC272" s="54" t="s">
        <v>4179</v>
      </c>
    </row>
    <row r="273" spans="2:29" x14ac:dyDescent="0.3">
      <c r="B273" s="18" t="s">
        <v>4518</v>
      </c>
      <c r="C273" s="47" t="s">
        <v>2242</v>
      </c>
      <c r="D273" s="15" t="s">
        <v>3284</v>
      </c>
      <c r="E273" s="55" t="s">
        <v>2</v>
      </c>
      <c r="F273" s="14">
        <v>44819</v>
      </c>
      <c r="G273" s="5" t="s">
        <v>2704</v>
      </c>
      <c r="H273" s="2"/>
      <c r="I273" s="4">
        <v>4770000</v>
      </c>
      <c r="J273" s="4">
        <v>4770000</v>
      </c>
      <c r="K273" s="4">
        <v>4769120</v>
      </c>
      <c r="L273" s="4">
        <v>4769583</v>
      </c>
      <c r="M273" s="4">
        <v>0</v>
      </c>
      <c r="N273" s="4">
        <v>417</v>
      </c>
      <c r="O273" s="4">
        <v>0</v>
      </c>
      <c r="P273" s="24">
        <v>417</v>
      </c>
      <c r="Q273" s="4">
        <v>0</v>
      </c>
      <c r="R273" s="4">
        <v>4770000</v>
      </c>
      <c r="S273" s="4">
        <v>0</v>
      </c>
      <c r="T273" s="4">
        <v>0</v>
      </c>
      <c r="U273" s="24">
        <v>0</v>
      </c>
      <c r="V273" s="4">
        <v>124497</v>
      </c>
      <c r="W273" s="14">
        <v>46127</v>
      </c>
      <c r="X273" s="2"/>
      <c r="Y273" s="5" t="s">
        <v>2</v>
      </c>
      <c r="Z273" s="5" t="s">
        <v>2150</v>
      </c>
      <c r="AA273" s="5" t="s">
        <v>824</v>
      </c>
      <c r="AB273" s="21" t="s">
        <v>2</v>
      </c>
      <c r="AC273" s="54" t="s">
        <v>4179</v>
      </c>
    </row>
    <row r="274" spans="2:29" x14ac:dyDescent="0.3">
      <c r="B274" s="18" t="s">
        <v>1129</v>
      </c>
      <c r="C274" s="47" t="s">
        <v>1391</v>
      </c>
      <c r="D274" s="15" t="s">
        <v>3384</v>
      </c>
      <c r="E274" s="55" t="s">
        <v>2</v>
      </c>
      <c r="F274" s="14">
        <v>44696</v>
      </c>
      <c r="G274" s="5" t="s">
        <v>730</v>
      </c>
      <c r="H274" s="2"/>
      <c r="I274" s="4">
        <v>4000000</v>
      </c>
      <c r="J274" s="4">
        <v>4000000</v>
      </c>
      <c r="K274" s="4">
        <v>4039360</v>
      </c>
      <c r="L274" s="4">
        <v>4004859</v>
      </c>
      <c r="M274" s="4">
        <v>0</v>
      </c>
      <c r="N274" s="4">
        <v>-4859</v>
      </c>
      <c r="O274" s="4">
        <v>0</v>
      </c>
      <c r="P274" s="24">
        <v>-4859</v>
      </c>
      <c r="Q274" s="4">
        <v>0</v>
      </c>
      <c r="R274" s="4">
        <v>4000000</v>
      </c>
      <c r="S274" s="4">
        <v>0</v>
      </c>
      <c r="T274" s="4">
        <v>0</v>
      </c>
      <c r="U274" s="24">
        <v>0</v>
      </c>
      <c r="V274" s="4">
        <v>62500</v>
      </c>
      <c r="W274" s="14">
        <v>44696</v>
      </c>
      <c r="X274" s="2"/>
      <c r="Y274" s="5" t="s">
        <v>4167</v>
      </c>
      <c r="Z274" s="5" t="s">
        <v>1604</v>
      </c>
      <c r="AA274" s="5" t="s">
        <v>2243</v>
      </c>
      <c r="AB274" s="21" t="s">
        <v>2</v>
      </c>
      <c r="AC274" s="54" t="s">
        <v>4179</v>
      </c>
    </row>
    <row r="275" spans="2:29" x14ac:dyDescent="0.3">
      <c r="B275" s="18" t="s">
        <v>2244</v>
      </c>
      <c r="C275" s="47" t="s">
        <v>492</v>
      </c>
      <c r="D275" s="15" t="s">
        <v>2727</v>
      </c>
      <c r="E275" s="55" t="s">
        <v>2</v>
      </c>
      <c r="F275" s="14">
        <v>44760</v>
      </c>
      <c r="G275" s="5" t="s">
        <v>2695</v>
      </c>
      <c r="H275" s="2"/>
      <c r="I275" s="4">
        <v>5012200</v>
      </c>
      <c r="J275" s="4">
        <v>5000000</v>
      </c>
      <c r="K275" s="4">
        <v>4990950</v>
      </c>
      <c r="L275" s="4">
        <v>4996058</v>
      </c>
      <c r="M275" s="4">
        <v>0</v>
      </c>
      <c r="N275" s="4">
        <v>1025</v>
      </c>
      <c r="O275" s="4">
        <v>0</v>
      </c>
      <c r="P275" s="24">
        <v>1025</v>
      </c>
      <c r="Q275" s="4">
        <v>0</v>
      </c>
      <c r="R275" s="4">
        <v>4997084</v>
      </c>
      <c r="S275" s="4">
        <v>0</v>
      </c>
      <c r="T275" s="4">
        <v>15116</v>
      </c>
      <c r="U275" s="24">
        <v>15116</v>
      </c>
      <c r="V275" s="4">
        <v>185417</v>
      </c>
      <c r="W275" s="14">
        <v>45315</v>
      </c>
      <c r="X275" s="2"/>
      <c r="Y275" s="5" t="s">
        <v>1762</v>
      </c>
      <c r="Z275" s="5" t="s">
        <v>3519</v>
      </c>
      <c r="AA275" s="5" t="s">
        <v>2</v>
      </c>
      <c r="AB275" s="21" t="s">
        <v>2</v>
      </c>
      <c r="AC275" s="54" t="s">
        <v>4179</v>
      </c>
    </row>
    <row r="276" spans="2:29" x14ac:dyDescent="0.3">
      <c r="B276" s="18" t="s">
        <v>3385</v>
      </c>
      <c r="C276" s="47" t="s">
        <v>2953</v>
      </c>
      <c r="D276" s="15" t="s">
        <v>4432</v>
      </c>
      <c r="E276" s="55" t="s">
        <v>2</v>
      </c>
      <c r="F276" s="14">
        <v>44910</v>
      </c>
      <c r="G276" s="5" t="s">
        <v>2704</v>
      </c>
      <c r="H276" s="2"/>
      <c r="I276" s="4">
        <v>40000</v>
      </c>
      <c r="J276" s="4">
        <v>40000</v>
      </c>
      <c r="K276" s="4">
        <v>40000</v>
      </c>
      <c r="L276" s="4">
        <v>40000</v>
      </c>
      <c r="M276" s="4">
        <v>0</v>
      </c>
      <c r="N276" s="4">
        <v>0</v>
      </c>
      <c r="O276" s="4">
        <v>0</v>
      </c>
      <c r="P276" s="24">
        <v>0</v>
      </c>
      <c r="Q276" s="4">
        <v>0</v>
      </c>
      <c r="R276" s="4">
        <v>40000</v>
      </c>
      <c r="S276" s="4">
        <v>0</v>
      </c>
      <c r="T276" s="4">
        <v>0</v>
      </c>
      <c r="U276" s="24">
        <v>0</v>
      </c>
      <c r="V276" s="4">
        <v>946</v>
      </c>
      <c r="W276" s="14">
        <v>54589</v>
      </c>
      <c r="X276" s="2"/>
      <c r="Y276" s="5" t="s">
        <v>2</v>
      </c>
      <c r="Z276" s="5" t="s">
        <v>2151</v>
      </c>
      <c r="AA276" s="5" t="s">
        <v>824</v>
      </c>
      <c r="AB276" s="21" t="s">
        <v>2</v>
      </c>
      <c r="AC276" s="54" t="s">
        <v>4179</v>
      </c>
    </row>
    <row r="277" spans="2:29" x14ac:dyDescent="0.3">
      <c r="B277" s="18" t="s">
        <v>4519</v>
      </c>
      <c r="C277" s="47" t="s">
        <v>4094</v>
      </c>
      <c r="D277" s="15" t="s">
        <v>1552</v>
      </c>
      <c r="E277" s="55" t="s">
        <v>2</v>
      </c>
      <c r="F277" s="14">
        <v>44910</v>
      </c>
      <c r="G277" s="5" t="s">
        <v>2704</v>
      </c>
      <c r="H277" s="2"/>
      <c r="I277" s="4">
        <v>100000</v>
      </c>
      <c r="J277" s="4">
        <v>100000</v>
      </c>
      <c r="K277" s="4">
        <v>100000</v>
      </c>
      <c r="L277" s="4">
        <v>100000</v>
      </c>
      <c r="M277" s="4">
        <v>0</v>
      </c>
      <c r="N277" s="4">
        <v>0</v>
      </c>
      <c r="O277" s="4">
        <v>0</v>
      </c>
      <c r="P277" s="24">
        <v>0</v>
      </c>
      <c r="Q277" s="4">
        <v>0</v>
      </c>
      <c r="R277" s="4">
        <v>100000</v>
      </c>
      <c r="S277" s="4">
        <v>0</v>
      </c>
      <c r="T277" s="4">
        <v>0</v>
      </c>
      <c r="U277" s="24">
        <v>0</v>
      </c>
      <c r="V277" s="4">
        <v>1734</v>
      </c>
      <c r="W277" s="14">
        <v>55319</v>
      </c>
      <c r="X277" s="2"/>
      <c r="Y277" s="5" t="s">
        <v>2</v>
      </c>
      <c r="Z277" s="5" t="s">
        <v>4433</v>
      </c>
      <c r="AA277" s="5" t="s">
        <v>824</v>
      </c>
      <c r="AB277" s="21" t="s">
        <v>2</v>
      </c>
      <c r="AC277" s="54" t="s">
        <v>4179</v>
      </c>
    </row>
    <row r="278" spans="2:29" x14ac:dyDescent="0.3">
      <c r="B278" s="18" t="s">
        <v>1899</v>
      </c>
      <c r="C278" s="47" t="s">
        <v>3817</v>
      </c>
      <c r="D278" s="15" t="s">
        <v>3818</v>
      </c>
      <c r="E278" s="55" t="s">
        <v>2</v>
      </c>
      <c r="F278" s="14">
        <v>44910</v>
      </c>
      <c r="G278" s="5" t="s">
        <v>2704</v>
      </c>
      <c r="H278" s="2"/>
      <c r="I278" s="4">
        <v>478845</v>
      </c>
      <c r="J278" s="4">
        <v>478845</v>
      </c>
      <c r="K278" s="4">
        <v>478842</v>
      </c>
      <c r="L278" s="4">
        <v>478844</v>
      </c>
      <c r="M278" s="4">
        <v>0</v>
      </c>
      <c r="N278" s="4">
        <v>1</v>
      </c>
      <c r="O278" s="4">
        <v>0</v>
      </c>
      <c r="P278" s="24">
        <v>1</v>
      </c>
      <c r="Q278" s="4">
        <v>0</v>
      </c>
      <c r="R278" s="4">
        <v>478845</v>
      </c>
      <c r="S278" s="4">
        <v>0</v>
      </c>
      <c r="T278" s="4">
        <v>0</v>
      </c>
      <c r="U278" s="24">
        <v>0</v>
      </c>
      <c r="V278" s="4">
        <v>5675</v>
      </c>
      <c r="W278" s="14">
        <v>49658</v>
      </c>
      <c r="X278" s="2"/>
      <c r="Y278" s="5" t="s">
        <v>2</v>
      </c>
      <c r="Z278" s="5" t="s">
        <v>2955</v>
      </c>
      <c r="AA278" s="5" t="s">
        <v>2955</v>
      </c>
      <c r="AB278" s="21" t="s">
        <v>2</v>
      </c>
      <c r="AC278" s="54" t="s">
        <v>4179</v>
      </c>
    </row>
    <row r="279" spans="2:29" x14ac:dyDescent="0.3">
      <c r="B279" s="18" t="s">
        <v>3040</v>
      </c>
      <c r="C279" s="47" t="s">
        <v>4520</v>
      </c>
      <c r="D279" s="15" t="s">
        <v>2615</v>
      </c>
      <c r="E279" s="55" t="s">
        <v>2</v>
      </c>
      <c r="F279" s="14">
        <v>44697</v>
      </c>
      <c r="G279" s="5" t="s">
        <v>466</v>
      </c>
      <c r="H279" s="2"/>
      <c r="I279" s="4">
        <v>2500000</v>
      </c>
      <c r="J279" s="4">
        <v>2500000</v>
      </c>
      <c r="K279" s="4">
        <v>2554525</v>
      </c>
      <c r="L279" s="4">
        <v>2506237</v>
      </c>
      <c r="M279" s="4">
        <v>0</v>
      </c>
      <c r="N279" s="4">
        <v>-6237</v>
      </c>
      <c r="O279" s="4">
        <v>0</v>
      </c>
      <c r="P279" s="24">
        <v>-6237</v>
      </c>
      <c r="Q279" s="4">
        <v>0</v>
      </c>
      <c r="R279" s="4">
        <v>2500000</v>
      </c>
      <c r="S279" s="4">
        <v>0</v>
      </c>
      <c r="T279" s="4">
        <v>0</v>
      </c>
      <c r="U279" s="24">
        <v>0</v>
      </c>
      <c r="V279" s="4">
        <v>74750</v>
      </c>
      <c r="W279" s="14">
        <v>44757</v>
      </c>
      <c r="X279" s="2"/>
      <c r="Y279" s="5" t="s">
        <v>2400</v>
      </c>
      <c r="Z279" s="5" t="s">
        <v>2615</v>
      </c>
      <c r="AA279" s="5" t="s">
        <v>2</v>
      </c>
      <c r="AB279" s="21" t="s">
        <v>2</v>
      </c>
      <c r="AC279" s="54" t="s">
        <v>4179</v>
      </c>
    </row>
    <row r="280" spans="2:29" x14ac:dyDescent="0.3">
      <c r="B280" s="18" t="s">
        <v>4521</v>
      </c>
      <c r="C280" s="47" t="s">
        <v>1605</v>
      </c>
      <c r="D280" s="15" t="s">
        <v>4522</v>
      </c>
      <c r="E280" s="55" t="s">
        <v>2</v>
      </c>
      <c r="F280" s="14">
        <v>44805</v>
      </c>
      <c r="G280" s="5" t="s">
        <v>730</v>
      </c>
      <c r="H280" s="2"/>
      <c r="I280" s="4">
        <v>5000000</v>
      </c>
      <c r="J280" s="4">
        <v>5000000</v>
      </c>
      <c r="K280" s="4">
        <v>5000000</v>
      </c>
      <c r="L280" s="4">
        <v>5000000</v>
      </c>
      <c r="M280" s="4">
        <v>0</v>
      </c>
      <c r="N280" s="4">
        <v>0</v>
      </c>
      <c r="O280" s="4">
        <v>0</v>
      </c>
      <c r="P280" s="24">
        <v>0</v>
      </c>
      <c r="Q280" s="4">
        <v>0</v>
      </c>
      <c r="R280" s="4">
        <v>5000000</v>
      </c>
      <c r="S280" s="4">
        <v>0</v>
      </c>
      <c r="T280" s="4">
        <v>0</v>
      </c>
      <c r="U280" s="24">
        <v>0</v>
      </c>
      <c r="V280" s="4">
        <v>171500</v>
      </c>
      <c r="W280" s="14">
        <v>44805</v>
      </c>
      <c r="X280" s="2"/>
      <c r="Y280" s="5" t="s">
        <v>2</v>
      </c>
      <c r="Z280" s="5" t="s">
        <v>3226</v>
      </c>
      <c r="AA280" s="5" t="s">
        <v>2</v>
      </c>
      <c r="AB280" s="21" t="s">
        <v>2</v>
      </c>
      <c r="AC280" s="54" t="s">
        <v>4179</v>
      </c>
    </row>
    <row r="281" spans="2:29" x14ac:dyDescent="0.3">
      <c r="B281" s="18" t="s">
        <v>1130</v>
      </c>
      <c r="C281" s="47" t="s">
        <v>689</v>
      </c>
      <c r="D281" s="15" t="s">
        <v>2453</v>
      </c>
      <c r="E281" s="55" t="s">
        <v>2</v>
      </c>
      <c r="F281" s="14">
        <v>44757</v>
      </c>
      <c r="G281" s="5" t="s">
        <v>2224</v>
      </c>
      <c r="H281" s="2"/>
      <c r="I281" s="4">
        <v>153600</v>
      </c>
      <c r="J281" s="4">
        <v>153600</v>
      </c>
      <c r="K281" s="4">
        <v>153600</v>
      </c>
      <c r="L281" s="4">
        <v>153600</v>
      </c>
      <c r="M281" s="4">
        <v>0</v>
      </c>
      <c r="N281" s="4">
        <v>0</v>
      </c>
      <c r="O281" s="4">
        <v>0</v>
      </c>
      <c r="P281" s="24">
        <v>0</v>
      </c>
      <c r="Q281" s="4">
        <v>0</v>
      </c>
      <c r="R281" s="4">
        <v>153600</v>
      </c>
      <c r="S281" s="4">
        <v>0</v>
      </c>
      <c r="T281" s="4">
        <v>0</v>
      </c>
      <c r="U281" s="24">
        <v>0</v>
      </c>
      <c r="V281" s="4">
        <v>3802</v>
      </c>
      <c r="W281" s="14">
        <v>47498</v>
      </c>
      <c r="X281" s="2"/>
      <c r="Y281" s="5" t="s">
        <v>2</v>
      </c>
      <c r="Z281" s="5" t="s">
        <v>432</v>
      </c>
      <c r="AA281" s="5" t="s">
        <v>824</v>
      </c>
      <c r="AB281" s="21" t="s">
        <v>2</v>
      </c>
      <c r="AC281" s="54" t="s">
        <v>4179</v>
      </c>
    </row>
    <row r="282" spans="2:29" x14ac:dyDescent="0.3">
      <c r="B282" s="18" t="s">
        <v>2245</v>
      </c>
      <c r="C282" s="47" t="s">
        <v>1554</v>
      </c>
      <c r="D282" s="15" t="s">
        <v>2454</v>
      </c>
      <c r="E282" s="55" t="s">
        <v>2</v>
      </c>
      <c r="F282" s="14">
        <v>44819</v>
      </c>
      <c r="G282" s="5" t="s">
        <v>2224</v>
      </c>
      <c r="H282" s="2"/>
      <c r="I282" s="4">
        <v>144747</v>
      </c>
      <c r="J282" s="4">
        <v>144747</v>
      </c>
      <c r="K282" s="4">
        <v>146376</v>
      </c>
      <c r="L282" s="4">
        <v>145692</v>
      </c>
      <c r="M282" s="4">
        <v>0</v>
      </c>
      <c r="N282" s="4">
        <v>-945</v>
      </c>
      <c r="O282" s="4">
        <v>0</v>
      </c>
      <c r="P282" s="24">
        <v>-945</v>
      </c>
      <c r="Q282" s="4">
        <v>0</v>
      </c>
      <c r="R282" s="4">
        <v>144747</v>
      </c>
      <c r="S282" s="4">
        <v>0</v>
      </c>
      <c r="T282" s="4">
        <v>0</v>
      </c>
      <c r="U282" s="24">
        <v>0</v>
      </c>
      <c r="V282" s="4">
        <v>3908</v>
      </c>
      <c r="W282" s="14">
        <v>46461</v>
      </c>
      <c r="X282" s="2"/>
      <c r="Y282" s="5" t="s">
        <v>2</v>
      </c>
      <c r="Z282" s="5" t="s">
        <v>1031</v>
      </c>
      <c r="AA282" s="5" t="s">
        <v>1997</v>
      </c>
      <c r="AB282" s="21" t="s">
        <v>2</v>
      </c>
      <c r="AC282" s="54" t="s">
        <v>4179</v>
      </c>
    </row>
    <row r="283" spans="2:29" x14ac:dyDescent="0.3">
      <c r="B283" s="18" t="s">
        <v>3386</v>
      </c>
      <c r="C283" s="47" t="s">
        <v>1392</v>
      </c>
      <c r="D283" s="15" t="s">
        <v>1828</v>
      </c>
      <c r="E283" s="55" t="s">
        <v>3408</v>
      </c>
      <c r="F283" s="14">
        <v>44670</v>
      </c>
      <c r="G283" s="5" t="s">
        <v>1582</v>
      </c>
      <c r="H283" s="2"/>
      <c r="I283" s="4">
        <v>2979375</v>
      </c>
      <c r="J283" s="4">
        <v>3000000</v>
      </c>
      <c r="K283" s="4">
        <v>2999552</v>
      </c>
      <c r="L283" s="4">
        <v>2999821</v>
      </c>
      <c r="M283" s="4">
        <v>0</v>
      </c>
      <c r="N283" s="4">
        <v>45</v>
      </c>
      <c r="O283" s="4">
        <v>0</v>
      </c>
      <c r="P283" s="24">
        <v>45</v>
      </c>
      <c r="Q283" s="4">
        <v>0</v>
      </c>
      <c r="R283" s="4">
        <v>2999866</v>
      </c>
      <c r="S283" s="4">
        <v>0</v>
      </c>
      <c r="T283" s="4">
        <v>-20491</v>
      </c>
      <c r="U283" s="24">
        <v>-20491</v>
      </c>
      <c r="V283" s="4">
        <v>25900</v>
      </c>
      <c r="W283" s="14">
        <v>45558</v>
      </c>
      <c r="X283" s="2"/>
      <c r="Y283" s="5" t="s">
        <v>2</v>
      </c>
      <c r="Z283" s="5" t="s">
        <v>3288</v>
      </c>
      <c r="AA283" s="5" t="s">
        <v>824</v>
      </c>
      <c r="AB283" s="21" t="s">
        <v>2</v>
      </c>
      <c r="AC283" s="54" t="s">
        <v>4179</v>
      </c>
    </row>
    <row r="284" spans="2:29" x14ac:dyDescent="0.3">
      <c r="B284" s="18" t="s">
        <v>4523</v>
      </c>
      <c r="C284" s="47" t="s">
        <v>4524</v>
      </c>
      <c r="D284" s="15" t="s">
        <v>247</v>
      </c>
      <c r="E284" s="55" t="s">
        <v>2274</v>
      </c>
      <c r="F284" s="14">
        <v>44642</v>
      </c>
      <c r="G284" s="5" t="s">
        <v>2194</v>
      </c>
      <c r="H284" s="2"/>
      <c r="I284" s="4">
        <v>4959800</v>
      </c>
      <c r="J284" s="4">
        <v>5000000</v>
      </c>
      <c r="K284" s="4">
        <v>4984800</v>
      </c>
      <c r="L284" s="4">
        <v>4990489</v>
      </c>
      <c r="M284" s="4">
        <v>0</v>
      </c>
      <c r="N284" s="4">
        <v>693</v>
      </c>
      <c r="O284" s="4">
        <v>0</v>
      </c>
      <c r="P284" s="24">
        <v>693</v>
      </c>
      <c r="Q284" s="4">
        <v>0</v>
      </c>
      <c r="R284" s="4">
        <v>4991182</v>
      </c>
      <c r="S284" s="4">
        <v>0</v>
      </c>
      <c r="T284" s="4">
        <v>-31382</v>
      </c>
      <c r="U284" s="24">
        <v>-31382</v>
      </c>
      <c r="V284" s="4">
        <v>103750</v>
      </c>
      <c r="W284" s="14">
        <v>45672</v>
      </c>
      <c r="X284" s="2"/>
      <c r="Y284" s="5" t="s">
        <v>3879</v>
      </c>
      <c r="Z284" s="5" t="s">
        <v>764</v>
      </c>
      <c r="AA284" s="5" t="s">
        <v>824</v>
      </c>
      <c r="AB284" s="21" t="s">
        <v>2</v>
      </c>
      <c r="AC284" s="54" t="s">
        <v>4179</v>
      </c>
    </row>
    <row r="285" spans="2:29" x14ac:dyDescent="0.3">
      <c r="B285" s="18" t="s">
        <v>1131</v>
      </c>
      <c r="C285" s="47" t="s">
        <v>1606</v>
      </c>
      <c r="D285" s="15" t="s">
        <v>2728</v>
      </c>
      <c r="E285" s="55" t="s">
        <v>1164</v>
      </c>
      <c r="F285" s="14">
        <v>44783</v>
      </c>
      <c r="G285" s="5" t="s">
        <v>2695</v>
      </c>
      <c r="H285" s="2"/>
      <c r="I285" s="4">
        <v>5943540</v>
      </c>
      <c r="J285" s="4">
        <v>6000000</v>
      </c>
      <c r="K285" s="4">
        <v>5908780</v>
      </c>
      <c r="L285" s="4">
        <v>5974130</v>
      </c>
      <c r="M285" s="4">
        <v>0</v>
      </c>
      <c r="N285" s="4">
        <v>10971</v>
      </c>
      <c r="O285" s="4">
        <v>0</v>
      </c>
      <c r="P285" s="24">
        <v>10971</v>
      </c>
      <c r="Q285" s="4">
        <v>0</v>
      </c>
      <c r="R285" s="4">
        <v>5985101</v>
      </c>
      <c r="S285" s="4">
        <v>0</v>
      </c>
      <c r="T285" s="4">
        <v>-41561</v>
      </c>
      <c r="U285" s="24">
        <v>-41561</v>
      </c>
      <c r="V285" s="4">
        <v>114800</v>
      </c>
      <c r="W285" s="14">
        <v>45083</v>
      </c>
      <c r="X285" s="2"/>
      <c r="Y285" s="5" t="s">
        <v>2</v>
      </c>
      <c r="Z285" s="5" t="s">
        <v>2728</v>
      </c>
      <c r="AA285" s="5" t="s">
        <v>2</v>
      </c>
      <c r="AB285" s="21" t="s">
        <v>2</v>
      </c>
      <c r="AC285" s="54" t="s">
        <v>4179</v>
      </c>
    </row>
    <row r="286" spans="2:29" x14ac:dyDescent="0.3">
      <c r="B286" s="18" t="s">
        <v>2246</v>
      </c>
      <c r="C286" s="47" t="s">
        <v>3880</v>
      </c>
      <c r="D286" s="15" t="s">
        <v>3291</v>
      </c>
      <c r="E286" s="55" t="s">
        <v>1164</v>
      </c>
      <c r="F286" s="14">
        <v>44645</v>
      </c>
      <c r="G286" s="5" t="s">
        <v>466</v>
      </c>
      <c r="H286" s="2"/>
      <c r="I286" s="4">
        <v>3000000</v>
      </c>
      <c r="J286" s="4">
        <v>3000000</v>
      </c>
      <c r="K286" s="4">
        <v>3000000</v>
      </c>
      <c r="L286" s="4">
        <v>3000000</v>
      </c>
      <c r="M286" s="4">
        <v>0</v>
      </c>
      <c r="N286" s="4">
        <v>0</v>
      </c>
      <c r="O286" s="4">
        <v>0</v>
      </c>
      <c r="P286" s="24">
        <v>0</v>
      </c>
      <c r="Q286" s="4">
        <v>0</v>
      </c>
      <c r="R286" s="4">
        <v>3000000</v>
      </c>
      <c r="S286" s="4">
        <v>0</v>
      </c>
      <c r="T286" s="4">
        <v>0</v>
      </c>
      <c r="U286" s="24">
        <v>0</v>
      </c>
      <c r="V286" s="4">
        <v>21213</v>
      </c>
      <c r="W286" s="14">
        <v>48233</v>
      </c>
      <c r="X286" s="2"/>
      <c r="Y286" s="5" t="s">
        <v>2</v>
      </c>
      <c r="Z286" s="5" t="s">
        <v>3585</v>
      </c>
      <c r="AA286" s="5" t="s">
        <v>824</v>
      </c>
      <c r="AB286" s="21" t="s">
        <v>2</v>
      </c>
      <c r="AC286" s="54" t="s">
        <v>4179</v>
      </c>
    </row>
    <row r="287" spans="2:29" x14ac:dyDescent="0.3">
      <c r="B287" s="18" t="s">
        <v>3387</v>
      </c>
      <c r="C287" s="47" t="s">
        <v>4436</v>
      </c>
      <c r="D287" s="15" t="s">
        <v>2676</v>
      </c>
      <c r="E287" s="55" t="s">
        <v>2274</v>
      </c>
      <c r="F287" s="14">
        <v>44910</v>
      </c>
      <c r="G287" s="5" t="s">
        <v>2704</v>
      </c>
      <c r="H287" s="2"/>
      <c r="I287" s="4">
        <v>728133</v>
      </c>
      <c r="J287" s="4">
        <v>728133</v>
      </c>
      <c r="K287" s="4">
        <v>708625</v>
      </c>
      <c r="L287" s="4">
        <v>717832</v>
      </c>
      <c r="M287" s="4">
        <v>0</v>
      </c>
      <c r="N287" s="4">
        <v>10301</v>
      </c>
      <c r="O287" s="4">
        <v>0</v>
      </c>
      <c r="P287" s="24">
        <v>10301</v>
      </c>
      <c r="Q287" s="4">
        <v>0</v>
      </c>
      <c r="R287" s="4">
        <v>728133</v>
      </c>
      <c r="S287" s="4">
        <v>0</v>
      </c>
      <c r="T287" s="4">
        <v>0</v>
      </c>
      <c r="U287" s="24">
        <v>0</v>
      </c>
      <c r="V287" s="4">
        <v>10030</v>
      </c>
      <c r="W287" s="14">
        <v>51851</v>
      </c>
      <c r="X287" s="2"/>
      <c r="Y287" s="5" t="s">
        <v>2</v>
      </c>
      <c r="Z287" s="5" t="s">
        <v>4098</v>
      </c>
      <c r="AA287" s="5" t="s">
        <v>824</v>
      </c>
      <c r="AB287" s="21" t="s">
        <v>2</v>
      </c>
      <c r="AC287" s="54" t="s">
        <v>4179</v>
      </c>
    </row>
    <row r="288" spans="2:29" x14ac:dyDescent="0.3">
      <c r="B288" s="18" t="s">
        <v>1132</v>
      </c>
      <c r="C288" s="47" t="s">
        <v>3041</v>
      </c>
      <c r="D288" s="15" t="s">
        <v>383</v>
      </c>
      <c r="E288" s="55" t="s">
        <v>1164</v>
      </c>
      <c r="F288" s="14">
        <v>44573</v>
      </c>
      <c r="G288" s="5" t="s">
        <v>2194</v>
      </c>
      <c r="H288" s="2"/>
      <c r="I288" s="4">
        <v>5105550</v>
      </c>
      <c r="J288" s="4">
        <v>5000000</v>
      </c>
      <c r="K288" s="4">
        <v>5127750</v>
      </c>
      <c r="L288" s="4">
        <v>5079155</v>
      </c>
      <c r="M288" s="4">
        <v>0</v>
      </c>
      <c r="N288" s="4">
        <v>-963</v>
      </c>
      <c r="O288" s="4">
        <v>0</v>
      </c>
      <c r="P288" s="24">
        <v>-963</v>
      </c>
      <c r="Q288" s="4">
        <v>0</v>
      </c>
      <c r="R288" s="4">
        <v>5078192</v>
      </c>
      <c r="S288" s="4">
        <v>0</v>
      </c>
      <c r="T288" s="4">
        <v>27358</v>
      </c>
      <c r="U288" s="24">
        <v>27358</v>
      </c>
      <c r="V288" s="4">
        <v>21534</v>
      </c>
      <c r="W288" s="14">
        <v>45980</v>
      </c>
      <c r="X288" s="2"/>
      <c r="Y288" s="5" t="s">
        <v>4029</v>
      </c>
      <c r="Z288" s="5" t="s">
        <v>983</v>
      </c>
      <c r="AA288" s="5" t="s">
        <v>824</v>
      </c>
      <c r="AB288" s="21" t="s">
        <v>2</v>
      </c>
      <c r="AC288" s="54" t="s">
        <v>4179</v>
      </c>
    </row>
    <row r="289" spans="2:29" x14ac:dyDescent="0.3">
      <c r="B289" s="18" t="s">
        <v>2247</v>
      </c>
      <c r="C289" s="47" t="s">
        <v>4437</v>
      </c>
      <c r="D289" s="15" t="s">
        <v>1330</v>
      </c>
      <c r="E289" s="55" t="s">
        <v>1164</v>
      </c>
      <c r="F289" s="14">
        <v>44920</v>
      </c>
      <c r="G289" s="5" t="s">
        <v>2704</v>
      </c>
      <c r="H289" s="2"/>
      <c r="I289" s="4">
        <v>1275000</v>
      </c>
      <c r="J289" s="4">
        <v>1275000</v>
      </c>
      <c r="K289" s="4">
        <v>1274712</v>
      </c>
      <c r="L289" s="4">
        <v>1274764</v>
      </c>
      <c r="M289" s="4">
        <v>0</v>
      </c>
      <c r="N289" s="4">
        <v>236</v>
      </c>
      <c r="O289" s="4">
        <v>0</v>
      </c>
      <c r="P289" s="24">
        <v>236</v>
      </c>
      <c r="Q289" s="4">
        <v>0</v>
      </c>
      <c r="R289" s="4">
        <v>1275000</v>
      </c>
      <c r="S289" s="4">
        <v>0</v>
      </c>
      <c r="T289" s="4">
        <v>0</v>
      </c>
      <c r="U289" s="24">
        <v>0</v>
      </c>
      <c r="V289" s="4">
        <v>16637</v>
      </c>
      <c r="W289" s="14">
        <v>53230</v>
      </c>
      <c r="X289" s="2"/>
      <c r="Y289" s="5" t="s">
        <v>2</v>
      </c>
      <c r="Z289" s="5" t="s">
        <v>693</v>
      </c>
      <c r="AA289" s="5" t="s">
        <v>824</v>
      </c>
      <c r="AB289" s="21" t="s">
        <v>2</v>
      </c>
      <c r="AC289" s="54" t="s">
        <v>4179</v>
      </c>
    </row>
    <row r="290" spans="2:29" x14ac:dyDescent="0.3">
      <c r="B290" s="18" t="s">
        <v>3388</v>
      </c>
      <c r="C290" s="47" t="s">
        <v>765</v>
      </c>
      <c r="D290" s="15" t="s">
        <v>4168</v>
      </c>
      <c r="E290" s="55" t="s">
        <v>1164</v>
      </c>
      <c r="F290" s="14">
        <v>44572</v>
      </c>
      <c r="G290" s="5" t="s">
        <v>200</v>
      </c>
      <c r="H290" s="2"/>
      <c r="I290" s="4">
        <v>4970250</v>
      </c>
      <c r="J290" s="4">
        <v>5000000</v>
      </c>
      <c r="K290" s="4">
        <v>5013050</v>
      </c>
      <c r="L290" s="4">
        <v>5009151</v>
      </c>
      <c r="M290" s="4">
        <v>0</v>
      </c>
      <c r="N290" s="4">
        <v>-86</v>
      </c>
      <c r="O290" s="4">
        <v>0</v>
      </c>
      <c r="P290" s="24">
        <v>-86</v>
      </c>
      <c r="Q290" s="4">
        <v>0</v>
      </c>
      <c r="R290" s="4">
        <v>5009065</v>
      </c>
      <c r="S290" s="4">
        <v>0</v>
      </c>
      <c r="T290" s="4">
        <v>-38815</v>
      </c>
      <c r="U290" s="24">
        <v>-38815</v>
      </c>
      <c r="V290" s="4">
        <v>7151</v>
      </c>
      <c r="W290" s="14">
        <v>46189</v>
      </c>
      <c r="X290" s="2"/>
      <c r="Y290" s="5" t="s">
        <v>2</v>
      </c>
      <c r="Z290" s="5" t="s">
        <v>4525</v>
      </c>
      <c r="AA290" s="5" t="s">
        <v>824</v>
      </c>
      <c r="AB290" s="21" t="s">
        <v>2</v>
      </c>
      <c r="AC290" s="54" t="s">
        <v>4179</v>
      </c>
    </row>
    <row r="291" spans="2:29" x14ac:dyDescent="0.3">
      <c r="B291" s="18" t="s">
        <v>4526</v>
      </c>
      <c r="C291" s="47" t="s">
        <v>493</v>
      </c>
      <c r="D291" s="15" t="s">
        <v>1607</v>
      </c>
      <c r="E291" s="55" t="s">
        <v>1164</v>
      </c>
      <c r="F291" s="14">
        <v>44720</v>
      </c>
      <c r="G291" s="5" t="s">
        <v>1060</v>
      </c>
      <c r="H291" s="2"/>
      <c r="I291" s="4">
        <v>4979700</v>
      </c>
      <c r="J291" s="4">
        <v>5000000</v>
      </c>
      <c r="K291" s="4">
        <v>4977420</v>
      </c>
      <c r="L291" s="4">
        <v>4990114</v>
      </c>
      <c r="M291" s="4">
        <v>0</v>
      </c>
      <c r="N291" s="4">
        <v>1656</v>
      </c>
      <c r="O291" s="4">
        <v>0</v>
      </c>
      <c r="P291" s="24">
        <v>1656</v>
      </c>
      <c r="Q291" s="4">
        <v>0</v>
      </c>
      <c r="R291" s="4">
        <v>4991770</v>
      </c>
      <c r="S291" s="4">
        <v>0</v>
      </c>
      <c r="T291" s="4">
        <v>-12070</v>
      </c>
      <c r="U291" s="24">
        <v>-12070</v>
      </c>
      <c r="V291" s="4">
        <v>163678</v>
      </c>
      <c r="W291" s="14">
        <v>45488</v>
      </c>
      <c r="X291" s="2"/>
      <c r="Y291" s="5" t="s">
        <v>3881</v>
      </c>
      <c r="Z291" s="5" t="s">
        <v>2729</v>
      </c>
      <c r="AA291" s="5" t="s">
        <v>824</v>
      </c>
      <c r="AB291" s="21" t="s">
        <v>2</v>
      </c>
      <c r="AC291" s="54" t="s">
        <v>4179</v>
      </c>
    </row>
    <row r="292" spans="2:29" x14ac:dyDescent="0.3">
      <c r="B292" s="18" t="s">
        <v>1133</v>
      </c>
      <c r="C292" s="47" t="s">
        <v>1134</v>
      </c>
      <c r="D292" s="15" t="s">
        <v>766</v>
      </c>
      <c r="E292" s="55" t="s">
        <v>1164</v>
      </c>
      <c r="F292" s="14">
        <v>44630</v>
      </c>
      <c r="G292" s="5" t="s">
        <v>730</v>
      </c>
      <c r="H292" s="2"/>
      <c r="I292" s="4">
        <v>3900000</v>
      </c>
      <c r="J292" s="4">
        <v>3900000</v>
      </c>
      <c r="K292" s="4">
        <v>3970186</v>
      </c>
      <c r="L292" s="4">
        <v>3901784</v>
      </c>
      <c r="M292" s="4">
        <v>0</v>
      </c>
      <c r="N292" s="4">
        <v>-1784</v>
      </c>
      <c r="O292" s="4">
        <v>0</v>
      </c>
      <c r="P292" s="24">
        <v>-1784</v>
      </c>
      <c r="Q292" s="4">
        <v>0</v>
      </c>
      <c r="R292" s="4">
        <v>3900000</v>
      </c>
      <c r="S292" s="4">
        <v>0</v>
      </c>
      <c r="T292" s="4">
        <v>0</v>
      </c>
      <c r="U292" s="24">
        <v>0</v>
      </c>
      <c r="V292" s="4">
        <v>87750</v>
      </c>
      <c r="W292" s="14">
        <v>44630</v>
      </c>
      <c r="X292" s="2"/>
      <c r="Y292" s="5" t="s">
        <v>2</v>
      </c>
      <c r="Z292" s="5" t="s">
        <v>3638</v>
      </c>
      <c r="AA292" s="5" t="s">
        <v>1135</v>
      </c>
      <c r="AB292" s="21" t="s">
        <v>2</v>
      </c>
      <c r="AC292" s="54" t="s">
        <v>4179</v>
      </c>
    </row>
    <row r="293" spans="2:29" x14ac:dyDescent="0.3">
      <c r="B293" s="18" t="s">
        <v>2248</v>
      </c>
      <c r="C293" s="47" t="s">
        <v>767</v>
      </c>
      <c r="D293" s="15" t="s">
        <v>1900</v>
      </c>
      <c r="E293" s="55" t="s">
        <v>2274</v>
      </c>
      <c r="F293" s="14">
        <v>44652</v>
      </c>
      <c r="G293" s="5" t="s">
        <v>730</v>
      </c>
      <c r="H293" s="2"/>
      <c r="I293" s="4">
        <v>2500000</v>
      </c>
      <c r="J293" s="4">
        <v>2500000</v>
      </c>
      <c r="K293" s="4">
        <v>2536711</v>
      </c>
      <c r="L293" s="4">
        <v>2501810</v>
      </c>
      <c r="M293" s="4">
        <v>0</v>
      </c>
      <c r="N293" s="4">
        <v>-1810</v>
      </c>
      <c r="O293" s="4">
        <v>0</v>
      </c>
      <c r="P293" s="24">
        <v>-1810</v>
      </c>
      <c r="Q293" s="4">
        <v>0</v>
      </c>
      <c r="R293" s="4">
        <v>2500000</v>
      </c>
      <c r="S293" s="4">
        <v>0</v>
      </c>
      <c r="T293" s="4">
        <v>0</v>
      </c>
      <c r="U293" s="24">
        <v>0</v>
      </c>
      <c r="V293" s="4">
        <v>46250</v>
      </c>
      <c r="W293" s="14">
        <v>44652</v>
      </c>
      <c r="X293" s="2"/>
      <c r="Y293" s="5" t="s">
        <v>2</v>
      </c>
      <c r="Z293" s="5" t="s">
        <v>1900</v>
      </c>
      <c r="AA293" s="5" t="s">
        <v>2</v>
      </c>
      <c r="AB293" s="21" t="s">
        <v>2</v>
      </c>
      <c r="AC293" s="54" t="s">
        <v>4179</v>
      </c>
    </row>
    <row r="294" spans="2:29" x14ac:dyDescent="0.3">
      <c r="B294" s="18" t="s">
        <v>3389</v>
      </c>
      <c r="C294" s="47" t="s">
        <v>2160</v>
      </c>
      <c r="D294" s="15" t="s">
        <v>4102</v>
      </c>
      <c r="E294" s="55" t="s">
        <v>1164</v>
      </c>
      <c r="F294" s="14">
        <v>44912</v>
      </c>
      <c r="G294" s="5" t="s">
        <v>2704</v>
      </c>
      <c r="H294" s="2"/>
      <c r="I294" s="4">
        <v>554245</v>
      </c>
      <c r="J294" s="4">
        <v>554245</v>
      </c>
      <c r="K294" s="4">
        <v>554219</v>
      </c>
      <c r="L294" s="4">
        <v>554222</v>
      </c>
      <c r="M294" s="4">
        <v>0</v>
      </c>
      <c r="N294" s="4">
        <v>23</v>
      </c>
      <c r="O294" s="4">
        <v>0</v>
      </c>
      <c r="P294" s="24">
        <v>23</v>
      </c>
      <c r="Q294" s="4">
        <v>0</v>
      </c>
      <c r="R294" s="4">
        <v>554245</v>
      </c>
      <c r="S294" s="4">
        <v>0</v>
      </c>
      <c r="T294" s="4">
        <v>0</v>
      </c>
      <c r="U294" s="24">
        <v>0</v>
      </c>
      <c r="V294" s="4">
        <v>6496</v>
      </c>
      <c r="W294" s="14">
        <v>51426</v>
      </c>
      <c r="X294" s="2"/>
      <c r="Y294" s="5" t="s">
        <v>2</v>
      </c>
      <c r="Z294" s="5" t="s">
        <v>4442</v>
      </c>
      <c r="AA294" s="5" t="s">
        <v>824</v>
      </c>
      <c r="AB294" s="21" t="s">
        <v>2</v>
      </c>
      <c r="AC294" s="54" t="s">
        <v>4179</v>
      </c>
    </row>
    <row r="295" spans="2:29" x14ac:dyDescent="0.3">
      <c r="B295" s="18" t="s">
        <v>4527</v>
      </c>
      <c r="C295" s="47" t="s">
        <v>1136</v>
      </c>
      <c r="D295" s="15" t="s">
        <v>3882</v>
      </c>
      <c r="E295" s="55" t="s">
        <v>1164</v>
      </c>
      <c r="F295" s="14">
        <v>44622</v>
      </c>
      <c r="G295" s="5" t="s">
        <v>2249</v>
      </c>
      <c r="H295" s="2"/>
      <c r="I295" s="4">
        <v>1975716</v>
      </c>
      <c r="J295" s="4">
        <v>2000000</v>
      </c>
      <c r="K295" s="4">
        <v>1955000</v>
      </c>
      <c r="L295" s="4">
        <v>1974782</v>
      </c>
      <c r="M295" s="4">
        <v>0</v>
      </c>
      <c r="N295" s="4">
        <v>934</v>
      </c>
      <c r="O295" s="4">
        <v>0</v>
      </c>
      <c r="P295" s="24">
        <v>934</v>
      </c>
      <c r="Q295" s="4">
        <v>0</v>
      </c>
      <c r="R295" s="4">
        <v>1975716</v>
      </c>
      <c r="S295" s="4">
        <v>0</v>
      </c>
      <c r="T295" s="4">
        <v>0</v>
      </c>
      <c r="U295" s="24">
        <v>0</v>
      </c>
      <c r="V295" s="4">
        <v>42222</v>
      </c>
      <c r="W295" s="14">
        <v>46082</v>
      </c>
      <c r="X295" s="2"/>
      <c r="Y295" s="5" t="s">
        <v>2</v>
      </c>
      <c r="Z295" s="5" t="s">
        <v>4169</v>
      </c>
      <c r="AA295" s="5" t="s">
        <v>824</v>
      </c>
      <c r="AB295" s="21" t="s">
        <v>2</v>
      </c>
      <c r="AC295" s="54" t="s">
        <v>4179</v>
      </c>
    </row>
    <row r="296" spans="2:29" x14ac:dyDescent="0.3">
      <c r="B296" s="18" t="s">
        <v>1137</v>
      </c>
      <c r="C296" s="47" t="s">
        <v>2516</v>
      </c>
      <c r="D296" s="15" t="s">
        <v>248</v>
      </c>
      <c r="E296" s="55" t="s">
        <v>2274</v>
      </c>
      <c r="F296" s="14">
        <v>44622</v>
      </c>
      <c r="G296" s="5" t="s">
        <v>2249</v>
      </c>
      <c r="H296" s="2"/>
      <c r="I296" s="4">
        <v>2997348</v>
      </c>
      <c r="J296" s="4">
        <v>3000000</v>
      </c>
      <c r="K296" s="4">
        <v>2991210</v>
      </c>
      <c r="L296" s="4">
        <v>2997040</v>
      </c>
      <c r="M296" s="4">
        <v>0</v>
      </c>
      <c r="N296" s="4">
        <v>308</v>
      </c>
      <c r="O296" s="4">
        <v>0</v>
      </c>
      <c r="P296" s="24">
        <v>308</v>
      </c>
      <c r="Q296" s="4">
        <v>0</v>
      </c>
      <c r="R296" s="4">
        <v>2997348</v>
      </c>
      <c r="S296" s="4">
        <v>0</v>
      </c>
      <c r="T296" s="4">
        <v>0</v>
      </c>
      <c r="U296" s="24">
        <v>0</v>
      </c>
      <c r="V296" s="4">
        <v>75531</v>
      </c>
      <c r="W296" s="14">
        <v>45139</v>
      </c>
      <c r="X296" s="2"/>
      <c r="Y296" s="5" t="s">
        <v>2</v>
      </c>
      <c r="Z296" s="5" t="s">
        <v>4169</v>
      </c>
      <c r="AA296" s="5" t="s">
        <v>2</v>
      </c>
      <c r="AB296" s="21" t="s">
        <v>2</v>
      </c>
      <c r="AC296" s="54" t="s">
        <v>4179</v>
      </c>
    </row>
    <row r="297" spans="2:29" x14ac:dyDescent="0.3">
      <c r="B297" s="18" t="s">
        <v>2517</v>
      </c>
      <c r="C297" s="47" t="s">
        <v>2250</v>
      </c>
      <c r="D297" s="15" t="s">
        <v>494</v>
      </c>
      <c r="E297" s="55" t="s">
        <v>2274</v>
      </c>
      <c r="F297" s="14">
        <v>44622</v>
      </c>
      <c r="G297" s="5" t="s">
        <v>2249</v>
      </c>
      <c r="H297" s="2"/>
      <c r="I297" s="4">
        <v>4995095</v>
      </c>
      <c r="J297" s="4">
        <v>5000000</v>
      </c>
      <c r="K297" s="4">
        <v>4988980</v>
      </c>
      <c r="L297" s="4">
        <v>4994727</v>
      </c>
      <c r="M297" s="4">
        <v>0</v>
      </c>
      <c r="N297" s="4">
        <v>368</v>
      </c>
      <c r="O297" s="4">
        <v>0</v>
      </c>
      <c r="P297" s="24">
        <v>368</v>
      </c>
      <c r="Q297" s="4">
        <v>0</v>
      </c>
      <c r="R297" s="4">
        <v>4995095</v>
      </c>
      <c r="S297" s="4">
        <v>0</v>
      </c>
      <c r="T297" s="4">
        <v>0</v>
      </c>
      <c r="U297" s="24">
        <v>0</v>
      </c>
      <c r="V297" s="4">
        <v>65920</v>
      </c>
      <c r="W297" s="14">
        <v>45413</v>
      </c>
      <c r="X297" s="2"/>
      <c r="Y297" s="5" t="s">
        <v>2</v>
      </c>
      <c r="Z297" s="5" t="s">
        <v>4169</v>
      </c>
      <c r="AA297" s="5" t="s">
        <v>2</v>
      </c>
      <c r="AB297" s="21" t="s">
        <v>2</v>
      </c>
      <c r="AC297" s="54" t="s">
        <v>4179</v>
      </c>
    </row>
    <row r="298" spans="2:29" x14ac:dyDescent="0.3">
      <c r="B298" s="18" t="s">
        <v>4528</v>
      </c>
      <c r="C298" s="47" t="s">
        <v>2108</v>
      </c>
      <c r="D298" s="15" t="s">
        <v>638</v>
      </c>
      <c r="E298" s="55" t="s">
        <v>2274</v>
      </c>
      <c r="F298" s="14">
        <v>44603</v>
      </c>
      <c r="G298" s="5" t="s">
        <v>1060</v>
      </c>
      <c r="H298" s="2"/>
      <c r="I298" s="4">
        <v>11718838</v>
      </c>
      <c r="J298" s="4">
        <v>11700000</v>
      </c>
      <c r="K298" s="4">
        <v>11736917</v>
      </c>
      <c r="L298" s="4">
        <v>11723523</v>
      </c>
      <c r="M298" s="4">
        <v>0</v>
      </c>
      <c r="N298" s="4">
        <v>-547</v>
      </c>
      <c r="O298" s="4">
        <v>0</v>
      </c>
      <c r="P298" s="24">
        <v>-547</v>
      </c>
      <c r="Q298" s="4">
        <v>0</v>
      </c>
      <c r="R298" s="4">
        <v>11722976</v>
      </c>
      <c r="S298" s="4">
        <v>0</v>
      </c>
      <c r="T298" s="4">
        <v>-4134</v>
      </c>
      <c r="U298" s="24">
        <v>-4134</v>
      </c>
      <c r="V298" s="4">
        <v>142833</v>
      </c>
      <c r="W298" s="14">
        <v>46058</v>
      </c>
      <c r="X298" s="2"/>
      <c r="Y298" s="5" t="s">
        <v>2109</v>
      </c>
      <c r="Z298" s="5" t="s">
        <v>638</v>
      </c>
      <c r="AA298" s="5" t="s">
        <v>2</v>
      </c>
      <c r="AB298" s="21" t="s">
        <v>2</v>
      </c>
      <c r="AC298" s="54" t="s">
        <v>4179</v>
      </c>
    </row>
    <row r="299" spans="2:29" x14ac:dyDescent="0.3">
      <c r="B299" s="18" t="s">
        <v>1138</v>
      </c>
      <c r="C299" s="47" t="s">
        <v>3390</v>
      </c>
      <c r="D299" s="15" t="s">
        <v>3639</v>
      </c>
      <c r="E299" s="55" t="s">
        <v>1164</v>
      </c>
      <c r="F299" s="14">
        <v>44595</v>
      </c>
      <c r="G299" s="5" t="s">
        <v>2981</v>
      </c>
      <c r="H299" s="2"/>
      <c r="I299" s="4">
        <v>2926740</v>
      </c>
      <c r="J299" s="4">
        <v>3000000</v>
      </c>
      <c r="K299" s="4">
        <v>2994810</v>
      </c>
      <c r="L299" s="4">
        <v>2995337</v>
      </c>
      <c r="M299" s="4">
        <v>0</v>
      </c>
      <c r="N299" s="4">
        <v>101</v>
      </c>
      <c r="O299" s="4">
        <v>0</v>
      </c>
      <c r="P299" s="24">
        <v>101</v>
      </c>
      <c r="Q299" s="4">
        <v>0</v>
      </c>
      <c r="R299" s="4">
        <v>2995438</v>
      </c>
      <c r="S299" s="4">
        <v>0</v>
      </c>
      <c r="T299" s="4">
        <v>-68698</v>
      </c>
      <c r="U299" s="24">
        <v>-68698</v>
      </c>
      <c r="V299" s="4">
        <v>37333</v>
      </c>
      <c r="W299" s="14">
        <v>46218</v>
      </c>
      <c r="X299" s="2"/>
      <c r="Y299" s="5" t="s">
        <v>4529</v>
      </c>
      <c r="Z299" s="5" t="s">
        <v>3391</v>
      </c>
      <c r="AA299" s="5" t="s">
        <v>824</v>
      </c>
      <c r="AB299" s="21" t="s">
        <v>2</v>
      </c>
      <c r="AC299" s="54" t="s">
        <v>4179</v>
      </c>
    </row>
    <row r="300" spans="2:29" x14ac:dyDescent="0.3">
      <c r="B300" s="18" t="s">
        <v>2251</v>
      </c>
      <c r="C300" s="47" t="s">
        <v>2252</v>
      </c>
      <c r="D300" s="15" t="s">
        <v>4036</v>
      </c>
      <c r="E300" s="55" t="s">
        <v>1164</v>
      </c>
      <c r="F300" s="14">
        <v>44614</v>
      </c>
      <c r="G300" s="5" t="s">
        <v>730</v>
      </c>
      <c r="H300" s="2"/>
      <c r="I300" s="4">
        <v>2000000</v>
      </c>
      <c r="J300" s="4">
        <v>2000000</v>
      </c>
      <c r="K300" s="4">
        <v>2006820</v>
      </c>
      <c r="L300" s="4">
        <v>2000347</v>
      </c>
      <c r="M300" s="4">
        <v>0</v>
      </c>
      <c r="N300" s="4">
        <v>-347</v>
      </c>
      <c r="O300" s="4">
        <v>0</v>
      </c>
      <c r="P300" s="24">
        <v>-347</v>
      </c>
      <c r="Q300" s="4">
        <v>0</v>
      </c>
      <c r="R300" s="4">
        <v>2000000</v>
      </c>
      <c r="S300" s="4">
        <v>0</v>
      </c>
      <c r="T300" s="4">
        <v>0</v>
      </c>
      <c r="U300" s="24">
        <v>0</v>
      </c>
      <c r="V300" s="4">
        <v>29980</v>
      </c>
      <c r="W300" s="14">
        <v>44614</v>
      </c>
      <c r="X300" s="2"/>
      <c r="Y300" s="5" t="s">
        <v>2</v>
      </c>
      <c r="Z300" s="5" t="s">
        <v>2110</v>
      </c>
      <c r="AA300" s="5" t="s">
        <v>2110</v>
      </c>
      <c r="AB300" s="21" t="s">
        <v>2</v>
      </c>
      <c r="AC300" s="54" t="s">
        <v>4179</v>
      </c>
    </row>
    <row r="301" spans="2:29" x14ac:dyDescent="0.3">
      <c r="B301" s="18" t="s">
        <v>3392</v>
      </c>
      <c r="C301" s="47" t="s">
        <v>2253</v>
      </c>
      <c r="D301" s="15" t="s">
        <v>2627</v>
      </c>
      <c r="E301" s="55" t="s">
        <v>1164</v>
      </c>
      <c r="F301" s="14">
        <v>44670</v>
      </c>
      <c r="G301" s="5" t="s">
        <v>3343</v>
      </c>
      <c r="H301" s="2"/>
      <c r="I301" s="4">
        <v>5017550</v>
      </c>
      <c r="J301" s="4">
        <v>5000000</v>
      </c>
      <c r="K301" s="4">
        <v>5000000</v>
      </c>
      <c r="L301" s="4">
        <v>5000000</v>
      </c>
      <c r="M301" s="4">
        <v>0</v>
      </c>
      <c r="N301" s="4">
        <v>0</v>
      </c>
      <c r="O301" s="4">
        <v>0</v>
      </c>
      <c r="P301" s="24">
        <v>0</v>
      </c>
      <c r="Q301" s="4">
        <v>0</v>
      </c>
      <c r="R301" s="4">
        <v>5000000</v>
      </c>
      <c r="S301" s="4">
        <v>0</v>
      </c>
      <c r="T301" s="4">
        <v>17550</v>
      </c>
      <c r="U301" s="24">
        <v>17550</v>
      </c>
      <c r="V301" s="4">
        <v>79475</v>
      </c>
      <c r="W301" s="14">
        <v>44815</v>
      </c>
      <c r="X301" s="2"/>
      <c r="Y301" s="5" t="s">
        <v>2</v>
      </c>
      <c r="Z301" s="5" t="s">
        <v>2627</v>
      </c>
      <c r="AA301" s="5" t="s">
        <v>2</v>
      </c>
      <c r="AB301" s="21" t="s">
        <v>2</v>
      </c>
      <c r="AC301" s="54" t="s">
        <v>4179</v>
      </c>
    </row>
    <row r="302" spans="2:29" x14ac:dyDescent="0.3">
      <c r="B302" s="18" t="s">
        <v>4530</v>
      </c>
      <c r="C302" s="47" t="s">
        <v>768</v>
      </c>
      <c r="D302" s="15" t="s">
        <v>769</v>
      </c>
      <c r="E302" s="55" t="s">
        <v>2274</v>
      </c>
      <c r="F302" s="14">
        <v>44700</v>
      </c>
      <c r="G302" s="5" t="s">
        <v>1060</v>
      </c>
      <c r="H302" s="2"/>
      <c r="I302" s="4">
        <v>5041114</v>
      </c>
      <c r="J302" s="4">
        <v>5000000</v>
      </c>
      <c r="K302" s="4">
        <v>5110870</v>
      </c>
      <c r="L302" s="4">
        <v>5050045</v>
      </c>
      <c r="M302" s="4">
        <v>0</v>
      </c>
      <c r="N302" s="4">
        <v>-8931</v>
      </c>
      <c r="O302" s="4">
        <v>0</v>
      </c>
      <c r="P302" s="24">
        <v>-8931</v>
      </c>
      <c r="Q302" s="4">
        <v>0</v>
      </c>
      <c r="R302" s="4">
        <v>5041114</v>
      </c>
      <c r="S302" s="4">
        <v>0</v>
      </c>
      <c r="T302" s="4">
        <v>0</v>
      </c>
      <c r="U302" s="24">
        <v>0</v>
      </c>
      <c r="V302" s="4">
        <v>174688</v>
      </c>
      <c r="W302" s="14">
        <v>45352</v>
      </c>
      <c r="X302" s="2"/>
      <c r="Y302" s="5" t="s">
        <v>2</v>
      </c>
      <c r="Z302" s="5" t="s">
        <v>1782</v>
      </c>
      <c r="AA302" s="5" t="s">
        <v>824</v>
      </c>
      <c r="AB302" s="21" t="s">
        <v>2</v>
      </c>
      <c r="AC302" s="54" t="s">
        <v>4179</v>
      </c>
    </row>
    <row r="303" spans="2:29" x14ac:dyDescent="0.3">
      <c r="B303" s="18" t="s">
        <v>1139</v>
      </c>
      <c r="C303" s="47" t="s">
        <v>2254</v>
      </c>
      <c r="D303" s="15" t="s">
        <v>2255</v>
      </c>
      <c r="E303" s="55" t="s">
        <v>1164</v>
      </c>
      <c r="F303" s="14">
        <v>44700</v>
      </c>
      <c r="G303" s="5" t="s">
        <v>4453</v>
      </c>
      <c r="H303" s="2"/>
      <c r="I303" s="4">
        <v>4499003</v>
      </c>
      <c r="J303" s="4">
        <v>4500000</v>
      </c>
      <c r="K303" s="4">
        <v>4498380</v>
      </c>
      <c r="L303" s="4">
        <v>4498917</v>
      </c>
      <c r="M303" s="4">
        <v>0</v>
      </c>
      <c r="N303" s="4">
        <v>86</v>
      </c>
      <c r="O303" s="4">
        <v>0</v>
      </c>
      <c r="P303" s="24">
        <v>86</v>
      </c>
      <c r="Q303" s="4">
        <v>0</v>
      </c>
      <c r="R303" s="4">
        <v>4499003</v>
      </c>
      <c r="S303" s="4">
        <v>0</v>
      </c>
      <c r="T303" s="4">
        <v>0</v>
      </c>
      <c r="U303" s="24">
        <v>0</v>
      </c>
      <c r="V303" s="4">
        <v>73141</v>
      </c>
      <c r="W303" s="14">
        <v>46191</v>
      </c>
      <c r="X303" s="2"/>
      <c r="Y303" s="5" t="s">
        <v>2</v>
      </c>
      <c r="Z303" s="5" t="s">
        <v>2900</v>
      </c>
      <c r="AA303" s="5" t="s">
        <v>824</v>
      </c>
      <c r="AB303" s="21" t="s">
        <v>2</v>
      </c>
      <c r="AC303" s="54" t="s">
        <v>4179</v>
      </c>
    </row>
    <row r="304" spans="2:29" x14ac:dyDescent="0.3">
      <c r="B304" s="18" t="s">
        <v>2256</v>
      </c>
      <c r="C304" s="47" t="s">
        <v>1901</v>
      </c>
      <c r="D304" s="15" t="s">
        <v>2255</v>
      </c>
      <c r="E304" s="55" t="s">
        <v>1164</v>
      </c>
      <c r="F304" s="14">
        <v>44700</v>
      </c>
      <c r="G304" s="5" t="s">
        <v>4453</v>
      </c>
      <c r="H304" s="2"/>
      <c r="I304" s="4">
        <v>3087860</v>
      </c>
      <c r="J304" s="4">
        <v>3000000</v>
      </c>
      <c r="K304" s="4">
        <v>3120810</v>
      </c>
      <c r="L304" s="4">
        <v>3094447</v>
      </c>
      <c r="M304" s="4">
        <v>0</v>
      </c>
      <c r="N304" s="4">
        <v>-6587</v>
      </c>
      <c r="O304" s="4">
        <v>0</v>
      </c>
      <c r="P304" s="24">
        <v>-6587</v>
      </c>
      <c r="Q304" s="4">
        <v>0</v>
      </c>
      <c r="R304" s="4">
        <v>3087860</v>
      </c>
      <c r="S304" s="4">
        <v>0</v>
      </c>
      <c r="T304" s="4">
        <v>0</v>
      </c>
      <c r="U304" s="24">
        <v>0</v>
      </c>
      <c r="V304" s="4">
        <v>51975</v>
      </c>
      <c r="W304" s="14">
        <v>46508</v>
      </c>
      <c r="X304" s="2"/>
      <c r="Y304" s="5" t="s">
        <v>2</v>
      </c>
      <c r="Z304" s="5" t="s">
        <v>2900</v>
      </c>
      <c r="AA304" s="5" t="s">
        <v>824</v>
      </c>
      <c r="AB304" s="21" t="s">
        <v>2</v>
      </c>
      <c r="AC304" s="54" t="s">
        <v>4179</v>
      </c>
    </row>
    <row r="305" spans="2:29" x14ac:dyDescent="0.3">
      <c r="B305" s="18" t="s">
        <v>3393</v>
      </c>
      <c r="C305" s="47" t="s">
        <v>1902</v>
      </c>
      <c r="D305" s="15" t="s">
        <v>3640</v>
      </c>
      <c r="E305" s="55" t="s">
        <v>1164</v>
      </c>
      <c r="F305" s="14">
        <v>44617</v>
      </c>
      <c r="G305" s="5" t="s">
        <v>466</v>
      </c>
      <c r="H305" s="2"/>
      <c r="I305" s="4">
        <v>10000000</v>
      </c>
      <c r="J305" s="4">
        <v>10000000</v>
      </c>
      <c r="K305" s="4">
        <v>10000000</v>
      </c>
      <c r="L305" s="4">
        <v>10000000</v>
      </c>
      <c r="M305" s="4">
        <v>0</v>
      </c>
      <c r="N305" s="4">
        <v>0</v>
      </c>
      <c r="O305" s="4">
        <v>0</v>
      </c>
      <c r="P305" s="24">
        <v>0</v>
      </c>
      <c r="Q305" s="4">
        <v>0</v>
      </c>
      <c r="R305" s="4">
        <v>10000000</v>
      </c>
      <c r="S305" s="4">
        <v>0</v>
      </c>
      <c r="T305" s="4">
        <v>0</v>
      </c>
      <c r="U305" s="24">
        <v>0</v>
      </c>
      <c r="V305" s="4">
        <v>50500</v>
      </c>
      <c r="W305" s="14">
        <v>48506</v>
      </c>
      <c r="X305" s="2"/>
      <c r="Y305" s="5" t="s">
        <v>2</v>
      </c>
      <c r="Z305" s="5" t="s">
        <v>1140</v>
      </c>
      <c r="AA305" s="5" t="s">
        <v>824</v>
      </c>
      <c r="AB305" s="21" t="s">
        <v>2</v>
      </c>
      <c r="AC305" s="54" t="s">
        <v>4179</v>
      </c>
    </row>
    <row r="306" spans="2:29" x14ac:dyDescent="0.3">
      <c r="B306" s="18" t="s">
        <v>249</v>
      </c>
      <c r="C306" s="47" t="s">
        <v>1288</v>
      </c>
      <c r="D306" s="15" t="s">
        <v>4040</v>
      </c>
      <c r="E306" s="55" t="s">
        <v>1164</v>
      </c>
      <c r="F306" s="14">
        <v>44663</v>
      </c>
      <c r="G306" s="5" t="s">
        <v>2194</v>
      </c>
      <c r="H306" s="2"/>
      <c r="I306" s="4">
        <v>4905667</v>
      </c>
      <c r="J306" s="4">
        <v>4940000</v>
      </c>
      <c r="K306" s="4">
        <v>4934665</v>
      </c>
      <c r="L306" s="4">
        <v>4937987</v>
      </c>
      <c r="M306" s="4">
        <v>0</v>
      </c>
      <c r="N306" s="4">
        <v>225</v>
      </c>
      <c r="O306" s="4">
        <v>0</v>
      </c>
      <c r="P306" s="24">
        <v>225</v>
      </c>
      <c r="Q306" s="4">
        <v>0</v>
      </c>
      <c r="R306" s="4">
        <v>4938212</v>
      </c>
      <c r="S306" s="4">
        <v>0</v>
      </c>
      <c r="T306" s="4">
        <v>-32545</v>
      </c>
      <c r="U306" s="24">
        <v>-32545</v>
      </c>
      <c r="V306" s="4">
        <v>40755</v>
      </c>
      <c r="W306" s="14">
        <v>45469</v>
      </c>
      <c r="X306" s="2"/>
      <c r="Y306" s="5" t="s">
        <v>2</v>
      </c>
      <c r="Z306" s="5" t="s">
        <v>4041</v>
      </c>
      <c r="AA306" s="5" t="s">
        <v>824</v>
      </c>
      <c r="AB306" s="21" t="s">
        <v>2</v>
      </c>
      <c r="AC306" s="54" t="s">
        <v>4179</v>
      </c>
    </row>
    <row r="307" spans="2:29" x14ac:dyDescent="0.3">
      <c r="B307" s="18" t="s">
        <v>1393</v>
      </c>
      <c r="C307" s="47" t="s">
        <v>250</v>
      </c>
      <c r="D307" s="15" t="s">
        <v>1394</v>
      </c>
      <c r="E307" s="55" t="s">
        <v>1164</v>
      </c>
      <c r="F307" s="14">
        <v>44651</v>
      </c>
      <c r="G307" s="5" t="s">
        <v>4454</v>
      </c>
      <c r="H307" s="2"/>
      <c r="I307" s="4">
        <v>2007340</v>
      </c>
      <c r="J307" s="4">
        <v>2000000</v>
      </c>
      <c r="K307" s="4">
        <v>1999740</v>
      </c>
      <c r="L307" s="4">
        <v>1999931</v>
      </c>
      <c r="M307" s="4">
        <v>0</v>
      </c>
      <c r="N307" s="4">
        <v>10</v>
      </c>
      <c r="O307" s="4">
        <v>0</v>
      </c>
      <c r="P307" s="24">
        <v>10</v>
      </c>
      <c r="Q307" s="4">
        <v>0</v>
      </c>
      <c r="R307" s="4">
        <v>1999941</v>
      </c>
      <c r="S307" s="4">
        <v>0</v>
      </c>
      <c r="T307" s="4">
        <v>7399</v>
      </c>
      <c r="U307" s="24">
        <v>7399</v>
      </c>
      <c r="V307" s="4">
        <v>30507</v>
      </c>
      <c r="W307" s="14">
        <v>45192</v>
      </c>
      <c r="X307" s="2"/>
      <c r="Y307" s="5" t="s">
        <v>2</v>
      </c>
      <c r="Z307" s="5" t="s">
        <v>2730</v>
      </c>
      <c r="AA307" s="5" t="s">
        <v>2730</v>
      </c>
      <c r="AB307" s="21" t="s">
        <v>2</v>
      </c>
      <c r="AC307" s="54" t="s">
        <v>4179</v>
      </c>
    </row>
    <row r="308" spans="2:29" x14ac:dyDescent="0.3">
      <c r="B308" s="18" t="s">
        <v>3394</v>
      </c>
      <c r="C308" s="47" t="s">
        <v>250</v>
      </c>
      <c r="D308" s="15" t="s">
        <v>1394</v>
      </c>
      <c r="E308" s="55" t="s">
        <v>1164</v>
      </c>
      <c r="F308" s="9">
        <v>44644</v>
      </c>
      <c r="G308" s="5" t="s">
        <v>3042</v>
      </c>
      <c r="H308" s="2"/>
      <c r="I308" s="4">
        <v>3030030</v>
      </c>
      <c r="J308" s="4">
        <v>3000000</v>
      </c>
      <c r="K308" s="4">
        <v>2999610</v>
      </c>
      <c r="L308" s="4">
        <v>2999896</v>
      </c>
      <c r="M308" s="4">
        <v>0</v>
      </c>
      <c r="N308" s="4">
        <v>13</v>
      </c>
      <c r="O308" s="4">
        <v>0</v>
      </c>
      <c r="P308" s="24">
        <v>13</v>
      </c>
      <c r="Q308" s="4">
        <v>0</v>
      </c>
      <c r="R308" s="4">
        <v>2999910</v>
      </c>
      <c r="S308" s="4">
        <v>0</v>
      </c>
      <c r="T308" s="4">
        <v>90</v>
      </c>
      <c r="U308" s="24">
        <v>90</v>
      </c>
      <c r="V308" s="4">
        <v>73395</v>
      </c>
      <c r="W308" s="9">
        <v>45192</v>
      </c>
      <c r="X308" s="2"/>
      <c r="Y308" s="5" t="s">
        <v>2</v>
      </c>
      <c r="Z308" s="5" t="s">
        <v>2730</v>
      </c>
      <c r="AA308" s="5" t="s">
        <v>2730</v>
      </c>
      <c r="AB308" s="21" t="s">
        <v>2</v>
      </c>
      <c r="AC308" s="54" t="s">
        <v>4179</v>
      </c>
    </row>
    <row r="309" spans="2:29" x14ac:dyDescent="0.3">
      <c r="B309" s="18" t="s">
        <v>4531</v>
      </c>
      <c r="C309" s="47" t="s">
        <v>2518</v>
      </c>
      <c r="D309" s="15" t="s">
        <v>3883</v>
      </c>
      <c r="E309" s="55" t="s">
        <v>2274</v>
      </c>
      <c r="F309" s="9">
        <v>44642</v>
      </c>
      <c r="G309" s="5" t="s">
        <v>1581</v>
      </c>
      <c r="H309" s="2"/>
      <c r="I309" s="4">
        <v>3012270</v>
      </c>
      <c r="J309" s="4">
        <v>3000000</v>
      </c>
      <c r="K309" s="4">
        <v>3000540</v>
      </c>
      <c r="L309" s="4">
        <v>3000122</v>
      </c>
      <c r="M309" s="4">
        <v>0</v>
      </c>
      <c r="N309" s="4">
        <v>-27</v>
      </c>
      <c r="O309" s="4">
        <v>0</v>
      </c>
      <c r="P309" s="24">
        <v>-27</v>
      </c>
      <c r="Q309" s="4">
        <v>0</v>
      </c>
      <c r="R309" s="4">
        <v>3000095</v>
      </c>
      <c r="S309" s="4">
        <v>0</v>
      </c>
      <c r="T309" s="4">
        <v>12175</v>
      </c>
      <c r="U309" s="24">
        <v>12175</v>
      </c>
      <c r="V309" s="4">
        <v>50429</v>
      </c>
      <c r="W309" s="9">
        <v>44943</v>
      </c>
      <c r="X309" s="2"/>
      <c r="Y309" s="5" t="s">
        <v>2100</v>
      </c>
      <c r="Z309" s="5" t="s">
        <v>1501</v>
      </c>
      <c r="AA309" s="5" t="s">
        <v>2</v>
      </c>
      <c r="AB309" s="21" t="s">
        <v>2</v>
      </c>
      <c r="AC309" s="54" t="s">
        <v>4179</v>
      </c>
    </row>
    <row r="310" spans="2:29" x14ac:dyDescent="0.3">
      <c r="B310" s="18" t="s">
        <v>1141</v>
      </c>
      <c r="C310" s="47" t="s">
        <v>4170</v>
      </c>
      <c r="D310" s="15" t="s">
        <v>1507</v>
      </c>
      <c r="E310" s="55" t="s">
        <v>1164</v>
      </c>
      <c r="F310" s="9">
        <v>44852</v>
      </c>
      <c r="G310" s="5" t="s">
        <v>730</v>
      </c>
      <c r="H310" s="2"/>
      <c r="I310" s="4">
        <v>3500000</v>
      </c>
      <c r="J310" s="4">
        <v>3500000</v>
      </c>
      <c r="K310" s="4">
        <v>3500000</v>
      </c>
      <c r="L310" s="4">
        <v>3500000</v>
      </c>
      <c r="M310" s="4">
        <v>0</v>
      </c>
      <c r="N310" s="4">
        <v>0</v>
      </c>
      <c r="O310" s="4">
        <v>0</v>
      </c>
      <c r="P310" s="24">
        <v>0</v>
      </c>
      <c r="Q310" s="4">
        <v>0</v>
      </c>
      <c r="R310" s="4">
        <v>3500000</v>
      </c>
      <c r="S310" s="4">
        <v>0</v>
      </c>
      <c r="T310" s="4">
        <v>0</v>
      </c>
      <c r="U310" s="24">
        <v>0</v>
      </c>
      <c r="V310" s="4">
        <v>97230</v>
      </c>
      <c r="W310" s="9">
        <v>44852</v>
      </c>
      <c r="X310" s="2"/>
      <c r="Y310" s="5" t="s">
        <v>2</v>
      </c>
      <c r="Z310" s="5" t="s">
        <v>3545</v>
      </c>
      <c r="AA310" s="5" t="s">
        <v>3761</v>
      </c>
      <c r="AB310" s="21" t="s">
        <v>2</v>
      </c>
      <c r="AC310" s="54" t="s">
        <v>4179</v>
      </c>
    </row>
    <row r="311" spans="2:29" x14ac:dyDescent="0.3">
      <c r="B311" s="18" t="s">
        <v>2257</v>
      </c>
      <c r="C311" s="47" t="s">
        <v>2731</v>
      </c>
      <c r="D311" s="15" t="s">
        <v>1507</v>
      </c>
      <c r="E311" s="55" t="s">
        <v>2274</v>
      </c>
      <c r="F311" s="9">
        <v>44648</v>
      </c>
      <c r="G311" s="5" t="s">
        <v>2185</v>
      </c>
      <c r="H311" s="2"/>
      <c r="I311" s="4">
        <v>4844450</v>
      </c>
      <c r="J311" s="4">
        <v>5000000</v>
      </c>
      <c r="K311" s="4">
        <v>5000000</v>
      </c>
      <c r="L311" s="4">
        <v>5000000</v>
      </c>
      <c r="M311" s="4">
        <v>0</v>
      </c>
      <c r="N311" s="4">
        <v>0</v>
      </c>
      <c r="O311" s="4">
        <v>0</v>
      </c>
      <c r="P311" s="24">
        <v>0</v>
      </c>
      <c r="Q311" s="4">
        <v>0</v>
      </c>
      <c r="R311" s="4">
        <v>5000000</v>
      </c>
      <c r="S311" s="4">
        <v>0</v>
      </c>
      <c r="T311" s="4">
        <v>-155550</v>
      </c>
      <c r="U311" s="24">
        <v>-155550</v>
      </c>
      <c r="V311" s="4">
        <v>83158</v>
      </c>
      <c r="W311" s="9">
        <v>45672</v>
      </c>
      <c r="X311" s="2"/>
      <c r="Y311" s="5" t="s">
        <v>2</v>
      </c>
      <c r="Z311" s="5" t="s">
        <v>3545</v>
      </c>
      <c r="AA311" s="5" t="s">
        <v>3761</v>
      </c>
      <c r="AB311" s="21" t="s">
        <v>2</v>
      </c>
      <c r="AC311" s="54" t="s">
        <v>4179</v>
      </c>
    </row>
    <row r="312" spans="2:29" x14ac:dyDescent="0.3">
      <c r="B312" s="18" t="s">
        <v>3395</v>
      </c>
      <c r="C312" s="47" t="s">
        <v>2632</v>
      </c>
      <c r="D312" s="15" t="s">
        <v>1785</v>
      </c>
      <c r="E312" s="55" t="s">
        <v>2274</v>
      </c>
      <c r="F312" s="9">
        <v>44866</v>
      </c>
      <c r="G312" s="5" t="s">
        <v>466</v>
      </c>
      <c r="H312" s="2"/>
      <c r="I312" s="4">
        <v>3201000</v>
      </c>
      <c r="J312" s="4">
        <v>3201000</v>
      </c>
      <c r="K312" s="4">
        <v>3199968</v>
      </c>
      <c r="L312" s="4">
        <v>3200520</v>
      </c>
      <c r="M312" s="4">
        <v>0</v>
      </c>
      <c r="N312" s="4">
        <v>206</v>
      </c>
      <c r="O312" s="4">
        <v>0</v>
      </c>
      <c r="P312" s="24">
        <v>206</v>
      </c>
      <c r="Q312" s="4">
        <v>0</v>
      </c>
      <c r="R312" s="4">
        <v>3200725</v>
      </c>
      <c r="S312" s="4">
        <v>0</v>
      </c>
      <c r="T312" s="4">
        <v>275</v>
      </c>
      <c r="U312" s="24">
        <v>275</v>
      </c>
      <c r="V312" s="4">
        <v>129489</v>
      </c>
      <c r="W312" s="9">
        <v>45256</v>
      </c>
      <c r="X312" s="2"/>
      <c r="Y312" s="5" t="s">
        <v>2633</v>
      </c>
      <c r="Z312" s="5" t="s">
        <v>1508</v>
      </c>
      <c r="AA312" s="5" t="s">
        <v>1508</v>
      </c>
      <c r="AB312" s="21" t="s">
        <v>2</v>
      </c>
      <c r="AC312" s="54" t="s">
        <v>4179</v>
      </c>
    </row>
    <row r="313" spans="2:29" x14ac:dyDescent="0.3">
      <c r="B313" s="18" t="s">
        <v>4532</v>
      </c>
      <c r="C313" s="47" t="s">
        <v>1334</v>
      </c>
      <c r="D313" s="15" t="s">
        <v>4091</v>
      </c>
      <c r="E313" s="55" t="s">
        <v>1164</v>
      </c>
      <c r="F313" s="9">
        <v>44915</v>
      </c>
      <c r="G313" s="5" t="s">
        <v>2704</v>
      </c>
      <c r="H313" s="2"/>
      <c r="I313" s="4">
        <v>978085</v>
      </c>
      <c r="J313" s="4">
        <v>978085</v>
      </c>
      <c r="K313" s="4">
        <v>977794</v>
      </c>
      <c r="L313" s="4">
        <v>977833</v>
      </c>
      <c r="M313" s="4">
        <v>0</v>
      </c>
      <c r="N313" s="4">
        <v>252</v>
      </c>
      <c r="O313" s="4">
        <v>0</v>
      </c>
      <c r="P313" s="24">
        <v>252</v>
      </c>
      <c r="Q313" s="4">
        <v>0</v>
      </c>
      <c r="R313" s="4">
        <v>978085</v>
      </c>
      <c r="S313" s="4">
        <v>0</v>
      </c>
      <c r="T313" s="4">
        <v>0</v>
      </c>
      <c r="U313" s="24">
        <v>0</v>
      </c>
      <c r="V313" s="4">
        <v>11276</v>
      </c>
      <c r="W313" s="9">
        <v>53225</v>
      </c>
      <c r="X313" s="2"/>
      <c r="Y313" s="5" t="s">
        <v>2</v>
      </c>
      <c r="Z313" s="5" t="s">
        <v>2674</v>
      </c>
      <c r="AA313" s="5" t="s">
        <v>824</v>
      </c>
      <c r="AB313" s="21" t="s">
        <v>2</v>
      </c>
      <c r="AC313" s="54" t="s">
        <v>4179</v>
      </c>
    </row>
    <row r="314" spans="2:29" x14ac:dyDescent="0.3">
      <c r="B314" s="18" t="s">
        <v>1142</v>
      </c>
      <c r="C314" s="47" t="s">
        <v>2461</v>
      </c>
      <c r="D314" s="15" t="s">
        <v>3830</v>
      </c>
      <c r="E314" s="55" t="s">
        <v>1164</v>
      </c>
      <c r="F314" s="9">
        <v>44915</v>
      </c>
      <c r="G314" s="5" t="s">
        <v>2704</v>
      </c>
      <c r="H314" s="2"/>
      <c r="I314" s="4">
        <v>560000</v>
      </c>
      <c r="J314" s="4">
        <v>560000</v>
      </c>
      <c r="K314" s="4">
        <v>559829</v>
      </c>
      <c r="L314" s="4">
        <v>559850</v>
      </c>
      <c r="M314" s="4">
        <v>0</v>
      </c>
      <c r="N314" s="4">
        <v>150</v>
      </c>
      <c r="O314" s="4">
        <v>0</v>
      </c>
      <c r="P314" s="24">
        <v>150</v>
      </c>
      <c r="Q314" s="4">
        <v>0</v>
      </c>
      <c r="R314" s="4">
        <v>560000</v>
      </c>
      <c r="S314" s="4">
        <v>0</v>
      </c>
      <c r="T314" s="4">
        <v>0</v>
      </c>
      <c r="U314" s="24">
        <v>0</v>
      </c>
      <c r="V314" s="4">
        <v>5095</v>
      </c>
      <c r="W314" s="9">
        <v>53378</v>
      </c>
      <c r="X314" s="2"/>
      <c r="Y314" s="5" t="s">
        <v>2</v>
      </c>
      <c r="Z314" s="5" t="s">
        <v>1564</v>
      </c>
      <c r="AA314" s="5" t="s">
        <v>824</v>
      </c>
      <c r="AB314" s="21" t="s">
        <v>2</v>
      </c>
      <c r="AC314" s="54" t="s">
        <v>4179</v>
      </c>
    </row>
    <row r="315" spans="2:29" x14ac:dyDescent="0.3">
      <c r="B315" s="18" t="s">
        <v>2519</v>
      </c>
      <c r="C315" s="47" t="s">
        <v>437</v>
      </c>
      <c r="D315" s="15" t="s">
        <v>3830</v>
      </c>
      <c r="E315" s="55" t="s">
        <v>1164</v>
      </c>
      <c r="F315" s="9">
        <v>44915</v>
      </c>
      <c r="G315" s="5" t="s">
        <v>2704</v>
      </c>
      <c r="H315" s="2"/>
      <c r="I315" s="4">
        <v>202245</v>
      </c>
      <c r="J315" s="4">
        <v>202245</v>
      </c>
      <c r="K315" s="4">
        <v>202159</v>
      </c>
      <c r="L315" s="4">
        <v>202170</v>
      </c>
      <c r="M315" s="4">
        <v>0</v>
      </c>
      <c r="N315" s="4">
        <v>75</v>
      </c>
      <c r="O315" s="4">
        <v>0</v>
      </c>
      <c r="P315" s="24">
        <v>75</v>
      </c>
      <c r="Q315" s="4">
        <v>0</v>
      </c>
      <c r="R315" s="4">
        <v>202245</v>
      </c>
      <c r="S315" s="4">
        <v>0</v>
      </c>
      <c r="T315" s="4">
        <v>0</v>
      </c>
      <c r="U315" s="24">
        <v>0</v>
      </c>
      <c r="V315" s="4">
        <v>1858</v>
      </c>
      <c r="W315" s="9">
        <v>53378</v>
      </c>
      <c r="X315" s="2"/>
      <c r="Y315" s="5" t="s">
        <v>2</v>
      </c>
      <c r="Z315" s="5" t="s">
        <v>1564</v>
      </c>
      <c r="AA315" s="5" t="s">
        <v>824</v>
      </c>
      <c r="AB315" s="21" t="s">
        <v>2</v>
      </c>
      <c r="AC315" s="54" t="s">
        <v>4179</v>
      </c>
    </row>
    <row r="316" spans="2:29" x14ac:dyDescent="0.3">
      <c r="B316" s="18" t="s">
        <v>3641</v>
      </c>
      <c r="C316" s="47" t="s">
        <v>251</v>
      </c>
      <c r="D316" s="15" t="s">
        <v>3396</v>
      </c>
      <c r="E316" s="55" t="s">
        <v>1164</v>
      </c>
      <c r="F316" s="9">
        <v>44847</v>
      </c>
      <c r="G316" s="5" t="s">
        <v>730</v>
      </c>
      <c r="H316" s="2"/>
      <c r="I316" s="4">
        <v>5000000</v>
      </c>
      <c r="J316" s="4">
        <v>5000000</v>
      </c>
      <c r="K316" s="4">
        <v>5000000</v>
      </c>
      <c r="L316" s="4">
        <v>5000000</v>
      </c>
      <c r="M316" s="4">
        <v>0</v>
      </c>
      <c r="N316" s="4">
        <v>0</v>
      </c>
      <c r="O316" s="4">
        <v>0</v>
      </c>
      <c r="P316" s="24">
        <v>0</v>
      </c>
      <c r="Q316" s="4">
        <v>0</v>
      </c>
      <c r="R316" s="4">
        <v>5000000</v>
      </c>
      <c r="S316" s="4">
        <v>0</v>
      </c>
      <c r="T316" s="4">
        <v>0</v>
      </c>
      <c r="U316" s="24">
        <v>0</v>
      </c>
      <c r="V316" s="4">
        <v>164000</v>
      </c>
      <c r="W316" s="9">
        <v>44847</v>
      </c>
      <c r="X316" s="2"/>
      <c r="Y316" s="5" t="s">
        <v>2</v>
      </c>
      <c r="Z316" s="5" t="s">
        <v>770</v>
      </c>
      <c r="AA316" s="5" t="s">
        <v>770</v>
      </c>
      <c r="AB316" s="21" t="s">
        <v>2</v>
      </c>
      <c r="AC316" s="54" t="s">
        <v>4179</v>
      </c>
    </row>
    <row r="317" spans="2:29" x14ac:dyDescent="0.3">
      <c r="B317" s="18" t="s">
        <v>252</v>
      </c>
      <c r="C317" s="47" t="s">
        <v>2258</v>
      </c>
      <c r="D317" s="15" t="s">
        <v>2520</v>
      </c>
      <c r="E317" s="55" t="s">
        <v>1164</v>
      </c>
      <c r="F317" s="9">
        <v>44744</v>
      </c>
      <c r="G317" s="5" t="s">
        <v>730</v>
      </c>
      <c r="H317" s="2"/>
      <c r="I317" s="4">
        <v>2000000</v>
      </c>
      <c r="J317" s="4">
        <v>2000000</v>
      </c>
      <c r="K317" s="4">
        <v>2000000</v>
      </c>
      <c r="L317" s="4">
        <v>2000000</v>
      </c>
      <c r="M317" s="4">
        <v>0</v>
      </c>
      <c r="N317" s="4">
        <v>0</v>
      </c>
      <c r="O317" s="4">
        <v>0</v>
      </c>
      <c r="P317" s="24">
        <v>0</v>
      </c>
      <c r="Q317" s="4">
        <v>0</v>
      </c>
      <c r="R317" s="4">
        <v>2000000</v>
      </c>
      <c r="S317" s="4">
        <v>0</v>
      </c>
      <c r="T317" s="4">
        <v>0</v>
      </c>
      <c r="U317" s="24">
        <v>0</v>
      </c>
      <c r="V317" s="4">
        <v>104400</v>
      </c>
      <c r="W317" s="9">
        <v>44744</v>
      </c>
      <c r="X317" s="2"/>
      <c r="Y317" s="5" t="s">
        <v>2521</v>
      </c>
      <c r="Z317" s="5" t="s">
        <v>2732</v>
      </c>
      <c r="AA317" s="5" t="s">
        <v>2</v>
      </c>
      <c r="AB317" s="21" t="s">
        <v>2</v>
      </c>
      <c r="AC317" s="54" t="s">
        <v>4179</v>
      </c>
    </row>
    <row r="318" spans="2:29" x14ac:dyDescent="0.3">
      <c r="B318" s="18" t="s">
        <v>2259</v>
      </c>
      <c r="C318" s="47" t="s">
        <v>3258</v>
      </c>
      <c r="D318" s="15" t="s">
        <v>3767</v>
      </c>
      <c r="E318" s="55" t="s">
        <v>1164</v>
      </c>
      <c r="F318" s="9">
        <v>44846</v>
      </c>
      <c r="G318" s="5" t="s">
        <v>2224</v>
      </c>
      <c r="H318" s="2"/>
      <c r="I318" s="4">
        <v>421053</v>
      </c>
      <c r="J318" s="4">
        <v>421053</v>
      </c>
      <c r="K318" s="4">
        <v>421053</v>
      </c>
      <c r="L318" s="4">
        <v>421053</v>
      </c>
      <c r="M318" s="4">
        <v>0</v>
      </c>
      <c r="N318" s="4">
        <v>0</v>
      </c>
      <c r="O318" s="4">
        <v>0</v>
      </c>
      <c r="P318" s="24">
        <v>0</v>
      </c>
      <c r="Q318" s="4">
        <v>0</v>
      </c>
      <c r="R318" s="4">
        <v>421053</v>
      </c>
      <c r="S318" s="4">
        <v>0</v>
      </c>
      <c r="T318" s="4">
        <v>0</v>
      </c>
      <c r="U318" s="24">
        <v>0</v>
      </c>
      <c r="V318" s="4">
        <v>6316</v>
      </c>
      <c r="W318" s="9">
        <v>46307</v>
      </c>
      <c r="X318" s="2"/>
      <c r="Y318" s="5" t="s">
        <v>2</v>
      </c>
      <c r="Z318" s="5" t="s">
        <v>1004</v>
      </c>
      <c r="AA318" s="5" t="s">
        <v>3552</v>
      </c>
      <c r="AB318" s="21" t="s">
        <v>2</v>
      </c>
      <c r="AC318" s="54" t="s">
        <v>4179</v>
      </c>
    </row>
    <row r="319" spans="2:29" x14ac:dyDescent="0.3">
      <c r="B319" s="18" t="s">
        <v>3397</v>
      </c>
      <c r="C319" s="47" t="s">
        <v>1395</v>
      </c>
      <c r="D319" s="15" t="s">
        <v>1143</v>
      </c>
      <c r="E319" s="55" t="s">
        <v>1164</v>
      </c>
      <c r="F319" s="9">
        <v>44664</v>
      </c>
      <c r="G319" s="5" t="s">
        <v>730</v>
      </c>
      <c r="H319" s="2"/>
      <c r="I319" s="4">
        <v>6000000</v>
      </c>
      <c r="J319" s="4">
        <v>6000000</v>
      </c>
      <c r="K319" s="4">
        <v>6000000</v>
      </c>
      <c r="L319" s="4">
        <v>6000000</v>
      </c>
      <c r="M319" s="4">
        <v>0</v>
      </c>
      <c r="N319" s="4">
        <v>0</v>
      </c>
      <c r="O319" s="4">
        <v>0</v>
      </c>
      <c r="P319" s="24">
        <v>0</v>
      </c>
      <c r="Q319" s="4">
        <v>0</v>
      </c>
      <c r="R319" s="4">
        <v>6000000</v>
      </c>
      <c r="S319" s="4">
        <v>0</v>
      </c>
      <c r="T319" s="4">
        <v>0</v>
      </c>
      <c r="U319" s="24">
        <v>0</v>
      </c>
      <c r="V319" s="4">
        <v>120723</v>
      </c>
      <c r="W319" s="9">
        <v>44664</v>
      </c>
      <c r="X319" s="2"/>
      <c r="Y319" s="5" t="s">
        <v>2</v>
      </c>
      <c r="Z319" s="5" t="s">
        <v>1143</v>
      </c>
      <c r="AA319" s="5" t="s">
        <v>2</v>
      </c>
      <c r="AB319" s="21" t="s">
        <v>2</v>
      </c>
      <c r="AC319" s="54" t="s">
        <v>4179</v>
      </c>
    </row>
    <row r="320" spans="2:29" x14ac:dyDescent="0.3">
      <c r="B320" s="18" t="s">
        <v>4533</v>
      </c>
      <c r="C320" s="47" t="s">
        <v>3043</v>
      </c>
      <c r="D320" s="15" t="s">
        <v>3044</v>
      </c>
      <c r="E320" s="55" t="s">
        <v>1164</v>
      </c>
      <c r="F320" s="9">
        <v>44791</v>
      </c>
      <c r="G320" s="5" t="s">
        <v>730</v>
      </c>
      <c r="H320" s="2"/>
      <c r="I320" s="4">
        <v>8000000</v>
      </c>
      <c r="J320" s="4">
        <v>8000000</v>
      </c>
      <c r="K320" s="4">
        <v>8000000</v>
      </c>
      <c r="L320" s="4">
        <v>8000000</v>
      </c>
      <c r="M320" s="4">
        <v>0</v>
      </c>
      <c r="N320" s="4">
        <v>0</v>
      </c>
      <c r="O320" s="4">
        <v>0</v>
      </c>
      <c r="P320" s="24">
        <v>0</v>
      </c>
      <c r="Q320" s="4">
        <v>0</v>
      </c>
      <c r="R320" s="4">
        <v>8000000</v>
      </c>
      <c r="S320" s="4">
        <v>0</v>
      </c>
      <c r="T320" s="4">
        <v>0</v>
      </c>
      <c r="U320" s="24">
        <v>0</v>
      </c>
      <c r="V320" s="4">
        <v>248800</v>
      </c>
      <c r="W320" s="9">
        <v>44791</v>
      </c>
      <c r="X320" s="2"/>
      <c r="Y320" s="5" t="s">
        <v>2</v>
      </c>
      <c r="Z320" s="5" t="s">
        <v>2260</v>
      </c>
      <c r="AA320" s="5" t="s">
        <v>2</v>
      </c>
      <c r="AB320" s="21" t="s">
        <v>2</v>
      </c>
      <c r="AC320" s="54" t="s">
        <v>4179</v>
      </c>
    </row>
    <row r="321" spans="2:29" x14ac:dyDescent="0.3">
      <c r="B321" s="18" t="s">
        <v>1144</v>
      </c>
      <c r="C321" s="47" t="s">
        <v>3558</v>
      </c>
      <c r="D321" s="15" t="s">
        <v>1510</v>
      </c>
      <c r="E321" s="55" t="s">
        <v>1164</v>
      </c>
      <c r="F321" s="9">
        <v>44680</v>
      </c>
      <c r="G321" s="5" t="s">
        <v>1861</v>
      </c>
      <c r="H321" s="2"/>
      <c r="I321" s="4">
        <v>11127</v>
      </c>
      <c r="J321" s="4">
        <v>11127</v>
      </c>
      <c r="K321" s="4">
        <v>11127</v>
      </c>
      <c r="L321" s="4">
        <v>11127</v>
      </c>
      <c r="M321" s="4">
        <v>0</v>
      </c>
      <c r="N321" s="4">
        <v>0</v>
      </c>
      <c r="O321" s="4">
        <v>0</v>
      </c>
      <c r="P321" s="24">
        <v>0</v>
      </c>
      <c r="Q321" s="4">
        <v>0</v>
      </c>
      <c r="R321" s="4">
        <v>11127</v>
      </c>
      <c r="S321" s="4">
        <v>0</v>
      </c>
      <c r="T321" s="4">
        <v>0</v>
      </c>
      <c r="U321" s="24">
        <v>0</v>
      </c>
      <c r="V321" s="4">
        <v>113</v>
      </c>
      <c r="W321" s="9">
        <v>49309</v>
      </c>
      <c r="X321" s="2"/>
      <c r="Y321" s="5" t="s">
        <v>4044</v>
      </c>
      <c r="Z321" s="5" t="s">
        <v>1510</v>
      </c>
      <c r="AA321" s="5" t="s">
        <v>2</v>
      </c>
      <c r="AB321" s="21" t="s">
        <v>2</v>
      </c>
      <c r="AC321" s="54" t="s">
        <v>4179</v>
      </c>
    </row>
    <row r="322" spans="2:29" x14ac:dyDescent="0.3">
      <c r="B322" s="18" t="s">
        <v>2261</v>
      </c>
      <c r="C322" s="47" t="s">
        <v>2262</v>
      </c>
      <c r="D322" s="15" t="s">
        <v>4171</v>
      </c>
      <c r="E322" s="55" t="s">
        <v>1164</v>
      </c>
      <c r="F322" s="9">
        <v>44789</v>
      </c>
      <c r="G322" s="5" t="s">
        <v>1861</v>
      </c>
      <c r="H322" s="2"/>
      <c r="I322" s="4">
        <v>7000000</v>
      </c>
      <c r="J322" s="4">
        <v>7000000</v>
      </c>
      <c r="K322" s="4">
        <v>7000000</v>
      </c>
      <c r="L322" s="4">
        <v>7000000</v>
      </c>
      <c r="M322" s="4">
        <v>0</v>
      </c>
      <c r="N322" s="4">
        <v>0</v>
      </c>
      <c r="O322" s="4">
        <v>0</v>
      </c>
      <c r="P322" s="24">
        <v>0</v>
      </c>
      <c r="Q322" s="4">
        <v>0</v>
      </c>
      <c r="R322" s="4">
        <v>7000000</v>
      </c>
      <c r="S322" s="4">
        <v>0</v>
      </c>
      <c r="T322" s="4">
        <v>0</v>
      </c>
      <c r="U322" s="24">
        <v>0</v>
      </c>
      <c r="V322" s="4">
        <v>300123</v>
      </c>
      <c r="W322" s="9">
        <v>46026</v>
      </c>
      <c r="X322" s="2"/>
      <c r="Y322" s="5" t="s">
        <v>2</v>
      </c>
      <c r="Z322" s="5" t="s">
        <v>3045</v>
      </c>
      <c r="AA322" s="5" t="s">
        <v>2</v>
      </c>
      <c r="AB322" s="21" t="s">
        <v>2</v>
      </c>
      <c r="AC322" s="54" t="s">
        <v>4179</v>
      </c>
    </row>
    <row r="323" spans="2:29" x14ac:dyDescent="0.3">
      <c r="B323" s="18" t="s">
        <v>3642</v>
      </c>
      <c r="C323" s="47" t="s">
        <v>253</v>
      </c>
      <c r="D323" s="15" t="s">
        <v>1903</v>
      </c>
      <c r="E323" s="55" t="s">
        <v>1164</v>
      </c>
      <c r="F323" s="9">
        <v>44926</v>
      </c>
      <c r="G323" s="5" t="s">
        <v>1060</v>
      </c>
      <c r="H323" s="2"/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24">
        <v>0</v>
      </c>
      <c r="Q323" s="4">
        <v>0</v>
      </c>
      <c r="R323" s="4">
        <v>0</v>
      </c>
      <c r="S323" s="4">
        <v>0</v>
      </c>
      <c r="T323" s="4">
        <v>0</v>
      </c>
      <c r="U323" s="24">
        <v>0</v>
      </c>
      <c r="V323" s="4">
        <v>-10500</v>
      </c>
      <c r="W323" s="9">
        <v>45743</v>
      </c>
      <c r="X323" s="2"/>
      <c r="Y323" s="5" t="s">
        <v>2522</v>
      </c>
      <c r="Z323" s="5" t="s">
        <v>1903</v>
      </c>
      <c r="AA323" s="5" t="s">
        <v>2</v>
      </c>
      <c r="AB323" s="21" t="s">
        <v>2</v>
      </c>
      <c r="AC323" s="54" t="s">
        <v>4179</v>
      </c>
    </row>
    <row r="324" spans="2:29" x14ac:dyDescent="0.3">
      <c r="B324" s="7" t="s">
        <v>2744</v>
      </c>
      <c r="C324" s="1" t="s">
        <v>2744</v>
      </c>
      <c r="D324" s="8" t="s">
        <v>2744</v>
      </c>
      <c r="E324" s="1" t="s">
        <v>2744</v>
      </c>
      <c r="F324" s="1" t="s">
        <v>2744</v>
      </c>
      <c r="G324" s="1" t="s">
        <v>2744</v>
      </c>
      <c r="H324" s="1" t="s">
        <v>2744</v>
      </c>
      <c r="I324" s="1" t="s">
        <v>2744</v>
      </c>
      <c r="J324" s="1" t="s">
        <v>2744</v>
      </c>
      <c r="K324" s="1" t="s">
        <v>2744</v>
      </c>
      <c r="L324" s="1" t="s">
        <v>2744</v>
      </c>
      <c r="M324" s="1" t="s">
        <v>2744</v>
      </c>
      <c r="N324" s="1" t="s">
        <v>2744</v>
      </c>
      <c r="O324" s="1" t="s">
        <v>2744</v>
      </c>
      <c r="P324" s="1" t="s">
        <v>2744</v>
      </c>
      <c r="Q324" s="1" t="s">
        <v>2744</v>
      </c>
      <c r="R324" s="1" t="s">
        <v>2744</v>
      </c>
      <c r="S324" s="1" t="s">
        <v>2744</v>
      </c>
      <c r="T324" s="1" t="s">
        <v>2744</v>
      </c>
      <c r="U324" s="1" t="s">
        <v>2744</v>
      </c>
      <c r="V324" s="1" t="s">
        <v>2744</v>
      </c>
      <c r="W324" s="1" t="s">
        <v>2744</v>
      </c>
      <c r="X324" s="1" t="s">
        <v>2744</v>
      </c>
      <c r="Y324" s="1" t="s">
        <v>2744</v>
      </c>
      <c r="Z324" s="1" t="s">
        <v>2744</v>
      </c>
      <c r="AA324" s="1" t="s">
        <v>2744</v>
      </c>
      <c r="AB324" s="1" t="s">
        <v>2744</v>
      </c>
      <c r="AC324" s="1" t="s">
        <v>2744</v>
      </c>
    </row>
    <row r="325" spans="2:29" ht="42" x14ac:dyDescent="0.3">
      <c r="B325" s="19" t="s">
        <v>2684</v>
      </c>
      <c r="C325" s="17" t="s">
        <v>460</v>
      </c>
      <c r="D325" s="16"/>
      <c r="E325" s="2"/>
      <c r="F325" s="2"/>
      <c r="G325" s="2"/>
      <c r="H325" s="2"/>
      <c r="I325" s="3">
        <f>SUM(GMIC_22A_SCDPT4!SCDPT4_110BEGINNG_7:GMIC_22A_SCDPT4!SCDPT4_110ENDINGG_7)</f>
        <v>955774859</v>
      </c>
      <c r="J325" s="3">
        <f>SUM(GMIC_22A_SCDPT4!SCDPT4_110BEGINNG_8:GMIC_22A_SCDPT4!SCDPT4_110ENDINGG_8)</f>
        <v>958048442</v>
      </c>
      <c r="K325" s="3">
        <f>SUM(GMIC_22A_SCDPT4!SCDPT4_110BEGINNG_9:GMIC_22A_SCDPT4!SCDPT4_110ENDINGG_9)</f>
        <v>957317827</v>
      </c>
      <c r="L325" s="3">
        <f>SUM(GMIC_22A_SCDPT4!SCDPT4_110BEGINNG_10:GMIC_22A_SCDPT4!SCDPT4_110ENDINGG_10)</f>
        <v>957545612</v>
      </c>
      <c r="M325" s="3">
        <f>SUM(GMIC_22A_SCDPT4!SCDPT4_110BEGINNG_11:GMIC_22A_SCDPT4!SCDPT4_110ENDINGG_11)</f>
        <v>10238</v>
      </c>
      <c r="N325" s="3">
        <f>SUM(GMIC_22A_SCDPT4!SCDPT4_110BEGINNG_12:GMIC_22A_SCDPT4!SCDPT4_110ENDINGG_12)</f>
        <v>85055</v>
      </c>
      <c r="O325" s="3">
        <f>SUM(GMIC_22A_SCDPT4!SCDPT4_110BEGINNG_13:GMIC_22A_SCDPT4!SCDPT4_110ENDINGG_13)</f>
        <v>0</v>
      </c>
      <c r="P325" s="3">
        <f>SUM(GMIC_22A_SCDPT4!SCDPT4_110BEGINNG_14:GMIC_22A_SCDPT4!SCDPT4_110ENDINGG_14)</f>
        <v>95293</v>
      </c>
      <c r="Q325" s="3">
        <f>SUM(GMIC_22A_SCDPT4!SCDPT4_110BEGINNG_15:GMIC_22A_SCDPT4!SCDPT4_110ENDINGG_15)</f>
        <v>0</v>
      </c>
      <c r="R325" s="3">
        <f>SUM(GMIC_22A_SCDPT4!SCDPT4_110BEGINNG_16:GMIC_22A_SCDPT4!SCDPT4_110ENDINGG_16)</f>
        <v>957640901</v>
      </c>
      <c r="S325" s="3">
        <f>SUM(GMIC_22A_SCDPT4!SCDPT4_110BEGINNG_17:GMIC_22A_SCDPT4!SCDPT4_110ENDINGG_17)</f>
        <v>0</v>
      </c>
      <c r="T325" s="3">
        <f>SUM(GMIC_22A_SCDPT4!SCDPT4_110BEGINNG_18:GMIC_22A_SCDPT4!SCDPT4_110ENDINGG_18)</f>
        <v>-2875738</v>
      </c>
      <c r="U325" s="3">
        <f>SUM(GMIC_22A_SCDPT4!SCDPT4_110BEGINNG_19:GMIC_22A_SCDPT4!SCDPT4_110ENDINGG_19)</f>
        <v>-2875738</v>
      </c>
      <c r="V325" s="3">
        <f>SUM(GMIC_22A_SCDPT4!SCDPT4_110BEGINNG_20:GMIC_22A_SCDPT4!SCDPT4_110ENDINGG_20)</f>
        <v>22549137</v>
      </c>
      <c r="W325" s="2"/>
      <c r="X325" s="2"/>
      <c r="Y325" s="2"/>
      <c r="Z325" s="2"/>
      <c r="AA325" s="2"/>
      <c r="AB325" s="2"/>
      <c r="AC325" s="2"/>
    </row>
    <row r="326" spans="2:29" x14ac:dyDescent="0.3">
      <c r="B326" s="7" t="s">
        <v>2744</v>
      </c>
      <c r="C326" s="1" t="s">
        <v>2744</v>
      </c>
      <c r="D326" s="8" t="s">
        <v>2744</v>
      </c>
      <c r="E326" s="1" t="s">
        <v>2744</v>
      </c>
      <c r="F326" s="1" t="s">
        <v>2744</v>
      </c>
      <c r="G326" s="1" t="s">
        <v>2744</v>
      </c>
      <c r="H326" s="1" t="s">
        <v>2744</v>
      </c>
      <c r="I326" s="1" t="s">
        <v>2744</v>
      </c>
      <c r="J326" s="1" t="s">
        <v>2744</v>
      </c>
      <c r="K326" s="1" t="s">
        <v>2744</v>
      </c>
      <c r="L326" s="1" t="s">
        <v>2744</v>
      </c>
      <c r="M326" s="1" t="s">
        <v>2744</v>
      </c>
      <c r="N326" s="1" t="s">
        <v>2744</v>
      </c>
      <c r="O326" s="1" t="s">
        <v>2744</v>
      </c>
      <c r="P326" s="1" t="s">
        <v>2744</v>
      </c>
      <c r="Q326" s="1" t="s">
        <v>2744</v>
      </c>
      <c r="R326" s="1" t="s">
        <v>2744</v>
      </c>
      <c r="S326" s="1" t="s">
        <v>2744</v>
      </c>
      <c r="T326" s="1" t="s">
        <v>2744</v>
      </c>
      <c r="U326" s="1" t="s">
        <v>2744</v>
      </c>
      <c r="V326" s="1" t="s">
        <v>2744</v>
      </c>
      <c r="W326" s="1" t="s">
        <v>2744</v>
      </c>
      <c r="X326" s="1" t="s">
        <v>2744</v>
      </c>
      <c r="Y326" s="1" t="s">
        <v>2744</v>
      </c>
      <c r="Z326" s="1" t="s">
        <v>2744</v>
      </c>
      <c r="AA326" s="1" t="s">
        <v>2744</v>
      </c>
      <c r="AB326" s="1" t="s">
        <v>2744</v>
      </c>
      <c r="AC326" s="1" t="s">
        <v>2744</v>
      </c>
    </row>
    <row r="327" spans="2:29" x14ac:dyDescent="0.3">
      <c r="B327" s="18" t="s">
        <v>2486</v>
      </c>
      <c r="C327" s="25" t="s">
        <v>3897</v>
      </c>
      <c r="D327" s="15" t="s">
        <v>2</v>
      </c>
      <c r="E327" s="20" t="s">
        <v>2</v>
      </c>
      <c r="F327" s="6"/>
      <c r="G327" s="5" t="s">
        <v>2</v>
      </c>
      <c r="H327" s="2"/>
      <c r="I327" s="4"/>
      <c r="J327" s="4"/>
      <c r="K327" s="4"/>
      <c r="L327" s="4"/>
      <c r="M327" s="4"/>
      <c r="N327" s="4"/>
      <c r="O327" s="4"/>
      <c r="P327" s="24"/>
      <c r="Q327" s="4"/>
      <c r="R327" s="4"/>
      <c r="S327" s="4"/>
      <c r="T327" s="4"/>
      <c r="U327" s="24"/>
      <c r="V327" s="4"/>
      <c r="W327" s="6"/>
      <c r="X327" s="2"/>
      <c r="Y327" s="5" t="s">
        <v>2</v>
      </c>
      <c r="Z327" s="5" t="s">
        <v>2</v>
      </c>
      <c r="AA327" s="5" t="s">
        <v>2</v>
      </c>
      <c r="AB327" s="21" t="s">
        <v>2</v>
      </c>
      <c r="AC327" s="26" t="s">
        <v>2</v>
      </c>
    </row>
    <row r="328" spans="2:29" x14ac:dyDescent="0.3">
      <c r="B328" s="7" t="s">
        <v>2744</v>
      </c>
      <c r="C328" s="1" t="s">
        <v>2744</v>
      </c>
      <c r="D328" s="8" t="s">
        <v>2744</v>
      </c>
      <c r="E328" s="1" t="s">
        <v>2744</v>
      </c>
      <c r="F328" s="1" t="s">
        <v>2744</v>
      </c>
      <c r="G328" s="1" t="s">
        <v>2744</v>
      </c>
      <c r="H328" s="1" t="s">
        <v>2744</v>
      </c>
      <c r="I328" s="1" t="s">
        <v>2744</v>
      </c>
      <c r="J328" s="1" t="s">
        <v>2744</v>
      </c>
      <c r="K328" s="1" t="s">
        <v>2744</v>
      </c>
      <c r="L328" s="1" t="s">
        <v>2744</v>
      </c>
      <c r="M328" s="1" t="s">
        <v>2744</v>
      </c>
      <c r="N328" s="1" t="s">
        <v>2744</v>
      </c>
      <c r="O328" s="1" t="s">
        <v>2744</v>
      </c>
      <c r="P328" s="1" t="s">
        <v>2744</v>
      </c>
      <c r="Q328" s="1" t="s">
        <v>2744</v>
      </c>
      <c r="R328" s="1" t="s">
        <v>2744</v>
      </c>
      <c r="S328" s="1" t="s">
        <v>2744</v>
      </c>
      <c r="T328" s="1" t="s">
        <v>2744</v>
      </c>
      <c r="U328" s="1" t="s">
        <v>2744</v>
      </c>
      <c r="V328" s="1" t="s">
        <v>2744</v>
      </c>
      <c r="W328" s="1" t="s">
        <v>2744</v>
      </c>
      <c r="X328" s="1" t="s">
        <v>2744</v>
      </c>
      <c r="Y328" s="1" t="s">
        <v>2744</v>
      </c>
      <c r="Z328" s="1" t="s">
        <v>2744</v>
      </c>
      <c r="AA328" s="1" t="s">
        <v>2744</v>
      </c>
      <c r="AB328" s="1" t="s">
        <v>2744</v>
      </c>
      <c r="AC328" s="1" t="s">
        <v>2744</v>
      </c>
    </row>
    <row r="329" spans="2:29" ht="28" x14ac:dyDescent="0.3">
      <c r="B329" s="19" t="s">
        <v>3301</v>
      </c>
      <c r="C329" s="17" t="s">
        <v>461</v>
      </c>
      <c r="D329" s="16"/>
      <c r="E329" s="2"/>
      <c r="F329" s="2"/>
      <c r="G329" s="2"/>
      <c r="H329" s="2"/>
      <c r="I329" s="3">
        <f>SUM(GMIC_22A_SCDPT4!SCDPT4_130BEGINNG_7:GMIC_22A_SCDPT4!SCDPT4_130ENDINGG_7)</f>
        <v>0</v>
      </c>
      <c r="J329" s="3">
        <f>SUM(GMIC_22A_SCDPT4!SCDPT4_130BEGINNG_8:GMIC_22A_SCDPT4!SCDPT4_130ENDINGG_8)</f>
        <v>0</v>
      </c>
      <c r="K329" s="3">
        <f>SUM(GMIC_22A_SCDPT4!SCDPT4_130BEGINNG_9:GMIC_22A_SCDPT4!SCDPT4_130ENDINGG_9)</f>
        <v>0</v>
      </c>
      <c r="L329" s="3">
        <f>SUM(GMIC_22A_SCDPT4!SCDPT4_130BEGINNG_10:GMIC_22A_SCDPT4!SCDPT4_130ENDINGG_10)</f>
        <v>0</v>
      </c>
      <c r="M329" s="3">
        <f>SUM(GMIC_22A_SCDPT4!SCDPT4_130BEGINNG_11:GMIC_22A_SCDPT4!SCDPT4_130ENDINGG_11)</f>
        <v>0</v>
      </c>
      <c r="N329" s="3">
        <f>SUM(GMIC_22A_SCDPT4!SCDPT4_130BEGINNG_12:GMIC_22A_SCDPT4!SCDPT4_130ENDINGG_12)</f>
        <v>0</v>
      </c>
      <c r="O329" s="3">
        <f>SUM(GMIC_22A_SCDPT4!SCDPT4_130BEGINNG_13:GMIC_22A_SCDPT4!SCDPT4_130ENDINGG_13)</f>
        <v>0</v>
      </c>
      <c r="P329" s="3">
        <f>SUM(GMIC_22A_SCDPT4!SCDPT4_130BEGINNG_14:GMIC_22A_SCDPT4!SCDPT4_130ENDINGG_14)</f>
        <v>0</v>
      </c>
      <c r="Q329" s="3">
        <f>SUM(GMIC_22A_SCDPT4!SCDPT4_130BEGINNG_15:GMIC_22A_SCDPT4!SCDPT4_130ENDINGG_15)</f>
        <v>0</v>
      </c>
      <c r="R329" s="3">
        <f>SUM(GMIC_22A_SCDPT4!SCDPT4_130BEGINNG_16:GMIC_22A_SCDPT4!SCDPT4_130ENDINGG_16)</f>
        <v>0</v>
      </c>
      <c r="S329" s="3">
        <f>SUM(GMIC_22A_SCDPT4!SCDPT4_130BEGINNG_17:GMIC_22A_SCDPT4!SCDPT4_130ENDINGG_17)</f>
        <v>0</v>
      </c>
      <c r="T329" s="3">
        <f>SUM(GMIC_22A_SCDPT4!SCDPT4_130BEGINNG_18:GMIC_22A_SCDPT4!SCDPT4_130ENDINGG_18)</f>
        <v>0</v>
      </c>
      <c r="U329" s="3">
        <f>SUM(GMIC_22A_SCDPT4!SCDPT4_130BEGINNG_19:GMIC_22A_SCDPT4!SCDPT4_130ENDINGG_19)</f>
        <v>0</v>
      </c>
      <c r="V329" s="3">
        <f>SUM(GMIC_22A_SCDPT4!SCDPT4_130BEGINNG_20:GMIC_22A_SCDPT4!SCDPT4_130ENDINGG_20)</f>
        <v>0</v>
      </c>
      <c r="W329" s="2"/>
      <c r="X329" s="2"/>
      <c r="Y329" s="2"/>
      <c r="Z329" s="2"/>
      <c r="AA329" s="2"/>
      <c r="AB329" s="2"/>
      <c r="AC329" s="2"/>
    </row>
    <row r="330" spans="2:29" x14ac:dyDescent="0.3">
      <c r="B330" s="7" t="s">
        <v>2744</v>
      </c>
      <c r="C330" s="1" t="s">
        <v>2744</v>
      </c>
      <c r="D330" s="8" t="s">
        <v>2744</v>
      </c>
      <c r="E330" s="1" t="s">
        <v>2744</v>
      </c>
      <c r="F330" s="1" t="s">
        <v>2744</v>
      </c>
      <c r="G330" s="1" t="s">
        <v>2744</v>
      </c>
      <c r="H330" s="1" t="s">
        <v>2744</v>
      </c>
      <c r="I330" s="1" t="s">
        <v>2744</v>
      </c>
      <c r="J330" s="1" t="s">
        <v>2744</v>
      </c>
      <c r="K330" s="1" t="s">
        <v>2744</v>
      </c>
      <c r="L330" s="1" t="s">
        <v>2744</v>
      </c>
      <c r="M330" s="1" t="s">
        <v>2744</v>
      </c>
      <c r="N330" s="1" t="s">
        <v>2744</v>
      </c>
      <c r="O330" s="1" t="s">
        <v>2744</v>
      </c>
      <c r="P330" s="1" t="s">
        <v>2744</v>
      </c>
      <c r="Q330" s="1" t="s">
        <v>2744</v>
      </c>
      <c r="R330" s="1" t="s">
        <v>2744</v>
      </c>
      <c r="S330" s="1" t="s">
        <v>2744</v>
      </c>
      <c r="T330" s="1" t="s">
        <v>2744</v>
      </c>
      <c r="U330" s="1" t="s">
        <v>2744</v>
      </c>
      <c r="V330" s="1" t="s">
        <v>2744</v>
      </c>
      <c r="W330" s="1" t="s">
        <v>2744</v>
      </c>
      <c r="X330" s="1" t="s">
        <v>2744</v>
      </c>
      <c r="Y330" s="1" t="s">
        <v>2744</v>
      </c>
      <c r="Z330" s="1" t="s">
        <v>2744</v>
      </c>
      <c r="AA330" s="1" t="s">
        <v>2744</v>
      </c>
      <c r="AB330" s="1" t="s">
        <v>2744</v>
      </c>
      <c r="AC330" s="1" t="s">
        <v>2744</v>
      </c>
    </row>
    <row r="331" spans="2:29" x14ac:dyDescent="0.3">
      <c r="B331" s="18" t="s">
        <v>2998</v>
      </c>
      <c r="C331" s="25" t="s">
        <v>3897</v>
      </c>
      <c r="D331" s="15" t="s">
        <v>2</v>
      </c>
      <c r="E331" s="20" t="s">
        <v>2</v>
      </c>
      <c r="F331" s="6"/>
      <c r="G331" s="5" t="s">
        <v>2</v>
      </c>
      <c r="H331" s="2"/>
      <c r="I331" s="4"/>
      <c r="J331" s="4"/>
      <c r="K331" s="4"/>
      <c r="L331" s="4"/>
      <c r="M331" s="4"/>
      <c r="N331" s="4"/>
      <c r="O331" s="4"/>
      <c r="P331" s="24"/>
      <c r="Q331" s="4"/>
      <c r="R331" s="4"/>
      <c r="S331" s="4"/>
      <c r="T331" s="4"/>
      <c r="U331" s="24"/>
      <c r="V331" s="4"/>
      <c r="W331" s="6"/>
      <c r="X331" s="2"/>
      <c r="Y331" s="5" t="s">
        <v>2</v>
      </c>
      <c r="Z331" s="5" t="s">
        <v>2</v>
      </c>
      <c r="AA331" s="5" t="s">
        <v>2</v>
      </c>
      <c r="AB331" s="21" t="s">
        <v>2</v>
      </c>
      <c r="AC331" s="26" t="s">
        <v>2</v>
      </c>
    </row>
    <row r="332" spans="2:29" x14ac:dyDescent="0.3">
      <c r="B332" s="7" t="s">
        <v>2744</v>
      </c>
      <c r="C332" s="1" t="s">
        <v>2744</v>
      </c>
      <c r="D332" s="8" t="s">
        <v>2744</v>
      </c>
      <c r="E332" s="1" t="s">
        <v>2744</v>
      </c>
      <c r="F332" s="1" t="s">
        <v>2744</v>
      </c>
      <c r="G332" s="1" t="s">
        <v>2744</v>
      </c>
      <c r="H332" s="1" t="s">
        <v>2744</v>
      </c>
      <c r="I332" s="1" t="s">
        <v>2744</v>
      </c>
      <c r="J332" s="1" t="s">
        <v>2744</v>
      </c>
      <c r="K332" s="1" t="s">
        <v>2744</v>
      </c>
      <c r="L332" s="1" t="s">
        <v>2744</v>
      </c>
      <c r="M332" s="1" t="s">
        <v>2744</v>
      </c>
      <c r="N332" s="1" t="s">
        <v>2744</v>
      </c>
      <c r="O332" s="1" t="s">
        <v>2744</v>
      </c>
      <c r="P332" s="1" t="s">
        <v>2744</v>
      </c>
      <c r="Q332" s="1" t="s">
        <v>2744</v>
      </c>
      <c r="R332" s="1" t="s">
        <v>2744</v>
      </c>
      <c r="S332" s="1" t="s">
        <v>2744</v>
      </c>
      <c r="T332" s="1" t="s">
        <v>2744</v>
      </c>
      <c r="U332" s="1" t="s">
        <v>2744</v>
      </c>
      <c r="V332" s="1" t="s">
        <v>2744</v>
      </c>
      <c r="W332" s="1" t="s">
        <v>2744</v>
      </c>
      <c r="X332" s="1" t="s">
        <v>2744</v>
      </c>
      <c r="Y332" s="1" t="s">
        <v>2744</v>
      </c>
      <c r="Z332" s="1" t="s">
        <v>2744</v>
      </c>
      <c r="AA332" s="1" t="s">
        <v>2744</v>
      </c>
      <c r="AB332" s="1" t="s">
        <v>2744</v>
      </c>
      <c r="AC332" s="1" t="s">
        <v>2744</v>
      </c>
    </row>
    <row r="333" spans="2:29" ht="28" x14ac:dyDescent="0.3">
      <c r="B333" s="19" t="s">
        <v>3837</v>
      </c>
      <c r="C333" s="17" t="s">
        <v>1091</v>
      </c>
      <c r="D333" s="16"/>
      <c r="E333" s="2"/>
      <c r="F333" s="2"/>
      <c r="G333" s="2"/>
      <c r="H333" s="2"/>
      <c r="I333" s="3">
        <f>SUM(GMIC_22A_SCDPT4!SCDPT4_150BEGINNG_7:GMIC_22A_SCDPT4!SCDPT4_150ENDINGG_7)</f>
        <v>0</v>
      </c>
      <c r="J333" s="3">
        <f>SUM(GMIC_22A_SCDPT4!SCDPT4_150BEGINNG_8:GMIC_22A_SCDPT4!SCDPT4_150ENDINGG_8)</f>
        <v>0</v>
      </c>
      <c r="K333" s="3">
        <f>SUM(GMIC_22A_SCDPT4!SCDPT4_150BEGINNG_9:GMIC_22A_SCDPT4!SCDPT4_150ENDINGG_9)</f>
        <v>0</v>
      </c>
      <c r="L333" s="3">
        <f>SUM(GMIC_22A_SCDPT4!SCDPT4_150BEGINNG_10:GMIC_22A_SCDPT4!SCDPT4_150ENDINGG_10)</f>
        <v>0</v>
      </c>
      <c r="M333" s="3">
        <f>SUM(GMIC_22A_SCDPT4!SCDPT4_150BEGINNG_11:GMIC_22A_SCDPT4!SCDPT4_150ENDINGG_11)</f>
        <v>0</v>
      </c>
      <c r="N333" s="3">
        <f>SUM(GMIC_22A_SCDPT4!SCDPT4_150BEGINNG_12:GMIC_22A_SCDPT4!SCDPT4_150ENDINGG_12)</f>
        <v>0</v>
      </c>
      <c r="O333" s="3">
        <f>SUM(GMIC_22A_SCDPT4!SCDPT4_150BEGINNG_13:GMIC_22A_SCDPT4!SCDPT4_150ENDINGG_13)</f>
        <v>0</v>
      </c>
      <c r="P333" s="3">
        <f>SUM(GMIC_22A_SCDPT4!SCDPT4_150BEGINNG_14:GMIC_22A_SCDPT4!SCDPT4_150ENDINGG_14)</f>
        <v>0</v>
      </c>
      <c r="Q333" s="3">
        <f>SUM(GMIC_22A_SCDPT4!SCDPT4_150BEGINNG_15:GMIC_22A_SCDPT4!SCDPT4_150ENDINGG_15)</f>
        <v>0</v>
      </c>
      <c r="R333" s="3">
        <f>SUM(GMIC_22A_SCDPT4!SCDPT4_150BEGINNG_16:GMIC_22A_SCDPT4!SCDPT4_150ENDINGG_16)</f>
        <v>0</v>
      </c>
      <c r="S333" s="3">
        <f>SUM(GMIC_22A_SCDPT4!SCDPT4_150BEGINNG_17:GMIC_22A_SCDPT4!SCDPT4_150ENDINGG_17)</f>
        <v>0</v>
      </c>
      <c r="T333" s="3">
        <f>SUM(GMIC_22A_SCDPT4!SCDPT4_150BEGINNG_18:GMIC_22A_SCDPT4!SCDPT4_150ENDINGG_18)</f>
        <v>0</v>
      </c>
      <c r="U333" s="3">
        <f>SUM(GMIC_22A_SCDPT4!SCDPT4_150BEGINNG_19:GMIC_22A_SCDPT4!SCDPT4_150ENDINGG_19)</f>
        <v>0</v>
      </c>
      <c r="V333" s="3">
        <f>SUM(GMIC_22A_SCDPT4!SCDPT4_150BEGINNG_20:GMIC_22A_SCDPT4!SCDPT4_150ENDINGG_20)</f>
        <v>0</v>
      </c>
      <c r="W333" s="2"/>
      <c r="X333" s="2"/>
      <c r="Y333" s="2"/>
      <c r="Z333" s="2"/>
      <c r="AA333" s="2"/>
      <c r="AB333" s="2"/>
      <c r="AC333" s="2"/>
    </row>
    <row r="334" spans="2:29" x14ac:dyDescent="0.3">
      <c r="B334" s="7" t="s">
        <v>2744</v>
      </c>
      <c r="C334" s="1" t="s">
        <v>2744</v>
      </c>
      <c r="D334" s="8" t="s">
        <v>2744</v>
      </c>
      <c r="E334" s="1" t="s">
        <v>2744</v>
      </c>
      <c r="F334" s="1" t="s">
        <v>2744</v>
      </c>
      <c r="G334" s="1" t="s">
        <v>2744</v>
      </c>
      <c r="H334" s="1" t="s">
        <v>2744</v>
      </c>
      <c r="I334" s="1" t="s">
        <v>2744</v>
      </c>
      <c r="J334" s="1" t="s">
        <v>2744</v>
      </c>
      <c r="K334" s="1" t="s">
        <v>2744</v>
      </c>
      <c r="L334" s="1" t="s">
        <v>2744</v>
      </c>
      <c r="M334" s="1" t="s">
        <v>2744</v>
      </c>
      <c r="N334" s="1" t="s">
        <v>2744</v>
      </c>
      <c r="O334" s="1" t="s">
        <v>2744</v>
      </c>
      <c r="P334" s="1" t="s">
        <v>2744</v>
      </c>
      <c r="Q334" s="1" t="s">
        <v>2744</v>
      </c>
      <c r="R334" s="1" t="s">
        <v>2744</v>
      </c>
      <c r="S334" s="1" t="s">
        <v>2744</v>
      </c>
      <c r="T334" s="1" t="s">
        <v>2744</v>
      </c>
      <c r="U334" s="1" t="s">
        <v>2744</v>
      </c>
      <c r="V334" s="1" t="s">
        <v>2744</v>
      </c>
      <c r="W334" s="1" t="s">
        <v>2744</v>
      </c>
      <c r="X334" s="1" t="s">
        <v>2744</v>
      </c>
      <c r="Y334" s="1" t="s">
        <v>2744</v>
      </c>
      <c r="Z334" s="1" t="s">
        <v>2744</v>
      </c>
      <c r="AA334" s="1" t="s">
        <v>2744</v>
      </c>
      <c r="AB334" s="1" t="s">
        <v>2744</v>
      </c>
      <c r="AC334" s="1" t="s">
        <v>2744</v>
      </c>
    </row>
    <row r="335" spans="2:29" x14ac:dyDescent="0.3">
      <c r="B335" s="18" t="s">
        <v>2466</v>
      </c>
      <c r="C335" s="25" t="s">
        <v>3897</v>
      </c>
      <c r="D335" s="15" t="s">
        <v>2</v>
      </c>
      <c r="E335" s="20" t="s">
        <v>2</v>
      </c>
      <c r="F335" s="6"/>
      <c r="G335" s="5" t="s">
        <v>2</v>
      </c>
      <c r="H335" s="28"/>
      <c r="I335" s="4"/>
      <c r="J335" s="4"/>
      <c r="K335" s="4"/>
      <c r="L335" s="4"/>
      <c r="M335" s="4"/>
      <c r="N335" s="4"/>
      <c r="O335" s="4"/>
      <c r="P335" s="24"/>
      <c r="Q335" s="4"/>
      <c r="R335" s="4"/>
      <c r="S335" s="4"/>
      <c r="T335" s="4"/>
      <c r="U335" s="24"/>
      <c r="V335" s="4"/>
      <c r="W335" s="2"/>
      <c r="X335" s="2"/>
      <c r="Y335" s="5" t="s">
        <v>2</v>
      </c>
      <c r="Z335" s="5" t="s">
        <v>2</v>
      </c>
      <c r="AA335" s="5" t="s">
        <v>2</v>
      </c>
      <c r="AB335" s="21" t="s">
        <v>2</v>
      </c>
      <c r="AC335" s="26" t="s">
        <v>2</v>
      </c>
    </row>
    <row r="336" spans="2:29" x14ac:dyDescent="0.3">
      <c r="B336" s="7" t="s">
        <v>2744</v>
      </c>
      <c r="C336" s="1" t="s">
        <v>2744</v>
      </c>
      <c r="D336" s="8" t="s">
        <v>2744</v>
      </c>
      <c r="E336" s="1" t="s">
        <v>2744</v>
      </c>
      <c r="F336" s="1" t="s">
        <v>2744</v>
      </c>
      <c r="G336" s="1" t="s">
        <v>2744</v>
      </c>
      <c r="H336" s="1" t="s">
        <v>2744</v>
      </c>
      <c r="I336" s="1" t="s">
        <v>2744</v>
      </c>
      <c r="J336" s="1" t="s">
        <v>2744</v>
      </c>
      <c r="K336" s="1" t="s">
        <v>2744</v>
      </c>
      <c r="L336" s="1" t="s">
        <v>2744</v>
      </c>
      <c r="M336" s="1" t="s">
        <v>2744</v>
      </c>
      <c r="N336" s="1" t="s">
        <v>2744</v>
      </c>
      <c r="O336" s="1" t="s">
        <v>2744</v>
      </c>
      <c r="P336" s="1" t="s">
        <v>2744</v>
      </c>
      <c r="Q336" s="1" t="s">
        <v>2744</v>
      </c>
      <c r="R336" s="1" t="s">
        <v>2744</v>
      </c>
      <c r="S336" s="1" t="s">
        <v>2744</v>
      </c>
      <c r="T336" s="1" t="s">
        <v>2744</v>
      </c>
      <c r="U336" s="1" t="s">
        <v>2744</v>
      </c>
      <c r="V336" s="1" t="s">
        <v>2744</v>
      </c>
      <c r="W336" s="1" t="s">
        <v>2744</v>
      </c>
      <c r="X336" s="1" t="s">
        <v>2744</v>
      </c>
      <c r="Y336" s="1" t="s">
        <v>2744</v>
      </c>
      <c r="Z336" s="1" t="s">
        <v>2744</v>
      </c>
      <c r="AA336" s="1" t="s">
        <v>2744</v>
      </c>
      <c r="AB336" s="1" t="s">
        <v>2744</v>
      </c>
      <c r="AC336" s="1" t="s">
        <v>2744</v>
      </c>
    </row>
    <row r="337" spans="2:29" ht="28" x14ac:dyDescent="0.3">
      <c r="B337" s="19" t="s">
        <v>3303</v>
      </c>
      <c r="C337" s="17" t="s">
        <v>3854</v>
      </c>
      <c r="D337" s="16"/>
      <c r="E337" s="2"/>
      <c r="F337" s="2"/>
      <c r="G337" s="2"/>
      <c r="H337" s="2"/>
      <c r="I337" s="3">
        <f>SUM(GMIC_22A_SCDPT4!SCDPT4_161BEGINNG_7:GMIC_22A_SCDPT4!SCDPT4_161ENDINGG_7)</f>
        <v>0</v>
      </c>
      <c r="J337" s="3">
        <f>SUM(GMIC_22A_SCDPT4!SCDPT4_161BEGINNG_8:GMIC_22A_SCDPT4!SCDPT4_161ENDINGG_8)</f>
        <v>0</v>
      </c>
      <c r="K337" s="3">
        <f>SUM(GMIC_22A_SCDPT4!SCDPT4_161BEGINNG_9:GMIC_22A_SCDPT4!SCDPT4_161ENDINGG_9)</f>
        <v>0</v>
      </c>
      <c r="L337" s="3">
        <f>SUM(GMIC_22A_SCDPT4!SCDPT4_161BEGINNG_10:GMIC_22A_SCDPT4!SCDPT4_161ENDINGG_10)</f>
        <v>0</v>
      </c>
      <c r="M337" s="3">
        <f>SUM(GMIC_22A_SCDPT4!SCDPT4_161BEGINNG_11:GMIC_22A_SCDPT4!SCDPT4_161ENDINGG_11)</f>
        <v>0</v>
      </c>
      <c r="N337" s="3">
        <f>SUM(GMIC_22A_SCDPT4!SCDPT4_161BEGINNG_12:GMIC_22A_SCDPT4!SCDPT4_161ENDINGG_12)</f>
        <v>0</v>
      </c>
      <c r="O337" s="3">
        <f>SUM(GMIC_22A_SCDPT4!SCDPT4_161BEGINNG_13:GMIC_22A_SCDPT4!SCDPT4_161ENDINGG_13)</f>
        <v>0</v>
      </c>
      <c r="P337" s="3">
        <f>SUM(GMIC_22A_SCDPT4!SCDPT4_161BEGINNG_14:GMIC_22A_SCDPT4!SCDPT4_161ENDINGG_14)</f>
        <v>0</v>
      </c>
      <c r="Q337" s="3">
        <f>SUM(GMIC_22A_SCDPT4!SCDPT4_161BEGINNG_15:GMIC_22A_SCDPT4!SCDPT4_161ENDINGG_15)</f>
        <v>0</v>
      </c>
      <c r="R337" s="3">
        <f>SUM(GMIC_22A_SCDPT4!SCDPT4_161BEGINNG_16:GMIC_22A_SCDPT4!SCDPT4_161ENDINGG_16)</f>
        <v>0</v>
      </c>
      <c r="S337" s="3">
        <f>SUM(GMIC_22A_SCDPT4!SCDPT4_161BEGINNG_17:GMIC_22A_SCDPT4!SCDPT4_161ENDINGG_17)</f>
        <v>0</v>
      </c>
      <c r="T337" s="3">
        <f>SUM(GMIC_22A_SCDPT4!SCDPT4_161BEGINNG_18:GMIC_22A_SCDPT4!SCDPT4_161ENDINGG_18)</f>
        <v>0</v>
      </c>
      <c r="U337" s="3">
        <f>SUM(GMIC_22A_SCDPT4!SCDPT4_161BEGINNG_19:GMIC_22A_SCDPT4!SCDPT4_161ENDINGG_19)</f>
        <v>0</v>
      </c>
      <c r="V337" s="3">
        <f>SUM(GMIC_22A_SCDPT4!SCDPT4_161BEGINNG_20:GMIC_22A_SCDPT4!SCDPT4_161ENDINGG_20)</f>
        <v>0</v>
      </c>
      <c r="W337" s="2"/>
      <c r="X337" s="2"/>
      <c r="Y337" s="2"/>
      <c r="Z337" s="2"/>
      <c r="AA337" s="2"/>
      <c r="AB337" s="2"/>
      <c r="AC337" s="2"/>
    </row>
    <row r="338" spans="2:29" x14ac:dyDescent="0.3">
      <c r="B338" s="7" t="s">
        <v>2744</v>
      </c>
      <c r="C338" s="1" t="s">
        <v>2744</v>
      </c>
      <c r="D338" s="8" t="s">
        <v>2744</v>
      </c>
      <c r="E338" s="1" t="s">
        <v>2744</v>
      </c>
      <c r="F338" s="1" t="s">
        <v>2744</v>
      </c>
      <c r="G338" s="1" t="s">
        <v>2744</v>
      </c>
      <c r="H338" s="1" t="s">
        <v>2744</v>
      </c>
      <c r="I338" s="1" t="s">
        <v>2744</v>
      </c>
      <c r="J338" s="1" t="s">
        <v>2744</v>
      </c>
      <c r="K338" s="1" t="s">
        <v>2744</v>
      </c>
      <c r="L338" s="1" t="s">
        <v>2744</v>
      </c>
      <c r="M338" s="1" t="s">
        <v>2744</v>
      </c>
      <c r="N338" s="1" t="s">
        <v>2744</v>
      </c>
      <c r="O338" s="1" t="s">
        <v>2744</v>
      </c>
      <c r="P338" s="1" t="s">
        <v>2744</v>
      </c>
      <c r="Q338" s="1" t="s">
        <v>2744</v>
      </c>
      <c r="R338" s="1" t="s">
        <v>2744</v>
      </c>
      <c r="S338" s="1" t="s">
        <v>2744</v>
      </c>
      <c r="T338" s="1" t="s">
        <v>2744</v>
      </c>
      <c r="U338" s="1" t="s">
        <v>2744</v>
      </c>
      <c r="V338" s="1" t="s">
        <v>2744</v>
      </c>
      <c r="W338" s="1" t="s">
        <v>2744</v>
      </c>
      <c r="X338" s="1" t="s">
        <v>2744</v>
      </c>
      <c r="Y338" s="1" t="s">
        <v>2744</v>
      </c>
      <c r="Z338" s="1" t="s">
        <v>2744</v>
      </c>
      <c r="AA338" s="1" t="s">
        <v>2744</v>
      </c>
      <c r="AB338" s="1" t="s">
        <v>2744</v>
      </c>
      <c r="AC338" s="1" t="s">
        <v>2744</v>
      </c>
    </row>
    <row r="339" spans="2:29" x14ac:dyDescent="0.3">
      <c r="B339" s="18" t="s">
        <v>4135</v>
      </c>
      <c r="C339" s="25" t="s">
        <v>3897</v>
      </c>
      <c r="D339" s="15" t="s">
        <v>2</v>
      </c>
      <c r="E339" s="20" t="s">
        <v>2</v>
      </c>
      <c r="F339" s="6"/>
      <c r="G339" s="5" t="s">
        <v>2</v>
      </c>
      <c r="H339" s="2"/>
      <c r="I339" s="4"/>
      <c r="J339" s="4"/>
      <c r="K339" s="4"/>
      <c r="L339" s="4"/>
      <c r="M339" s="4"/>
      <c r="N339" s="4"/>
      <c r="O339" s="4"/>
      <c r="P339" s="24"/>
      <c r="Q339" s="4"/>
      <c r="R339" s="4"/>
      <c r="S339" s="4"/>
      <c r="T339" s="4"/>
      <c r="U339" s="24"/>
      <c r="V339" s="4"/>
      <c r="W339" s="6"/>
      <c r="X339" s="2"/>
      <c r="Y339" s="5" t="s">
        <v>2</v>
      </c>
      <c r="Z339" s="5" t="s">
        <v>2</v>
      </c>
      <c r="AA339" s="5" t="s">
        <v>2</v>
      </c>
      <c r="AB339" s="21" t="s">
        <v>2</v>
      </c>
      <c r="AC339" s="26" t="s">
        <v>2</v>
      </c>
    </row>
    <row r="340" spans="2:29" x14ac:dyDescent="0.3">
      <c r="B340" s="7" t="s">
        <v>2744</v>
      </c>
      <c r="C340" s="1" t="s">
        <v>2744</v>
      </c>
      <c r="D340" s="8" t="s">
        <v>2744</v>
      </c>
      <c r="E340" s="1" t="s">
        <v>2744</v>
      </c>
      <c r="F340" s="1" t="s">
        <v>2744</v>
      </c>
      <c r="G340" s="1" t="s">
        <v>2744</v>
      </c>
      <c r="H340" s="1" t="s">
        <v>2744</v>
      </c>
      <c r="I340" s="1" t="s">
        <v>2744</v>
      </c>
      <c r="J340" s="1" t="s">
        <v>2744</v>
      </c>
      <c r="K340" s="1" t="s">
        <v>2744</v>
      </c>
      <c r="L340" s="1" t="s">
        <v>2744</v>
      </c>
      <c r="M340" s="1" t="s">
        <v>2744</v>
      </c>
      <c r="N340" s="1" t="s">
        <v>2744</v>
      </c>
      <c r="O340" s="1" t="s">
        <v>2744</v>
      </c>
      <c r="P340" s="1" t="s">
        <v>2744</v>
      </c>
      <c r="Q340" s="1" t="s">
        <v>2744</v>
      </c>
      <c r="R340" s="1" t="s">
        <v>2744</v>
      </c>
      <c r="S340" s="1" t="s">
        <v>2744</v>
      </c>
      <c r="T340" s="1" t="s">
        <v>2744</v>
      </c>
      <c r="U340" s="1" t="s">
        <v>2744</v>
      </c>
      <c r="V340" s="1" t="s">
        <v>2744</v>
      </c>
      <c r="W340" s="1" t="s">
        <v>2744</v>
      </c>
      <c r="X340" s="1" t="s">
        <v>2744</v>
      </c>
      <c r="Y340" s="1" t="s">
        <v>2744</v>
      </c>
      <c r="Z340" s="1" t="s">
        <v>2744</v>
      </c>
      <c r="AA340" s="1" t="s">
        <v>2744</v>
      </c>
      <c r="AB340" s="1" t="s">
        <v>2744</v>
      </c>
      <c r="AC340" s="1" t="s">
        <v>2744</v>
      </c>
    </row>
    <row r="341" spans="2:29" ht="28" x14ac:dyDescent="0.3">
      <c r="B341" s="19" t="s">
        <v>444</v>
      </c>
      <c r="C341" s="17" t="s">
        <v>1047</v>
      </c>
      <c r="D341" s="16"/>
      <c r="E341" s="2"/>
      <c r="F341" s="2"/>
      <c r="G341" s="2"/>
      <c r="H341" s="2"/>
      <c r="I341" s="3">
        <f>SUM(GMIC_22A_SCDPT4!SCDPT4_190BEGINNG_7:GMIC_22A_SCDPT4!SCDPT4_190ENDINGG_7)</f>
        <v>0</v>
      </c>
      <c r="J341" s="3">
        <f>SUM(GMIC_22A_SCDPT4!SCDPT4_190BEGINNG_8:GMIC_22A_SCDPT4!SCDPT4_190ENDINGG_8)</f>
        <v>0</v>
      </c>
      <c r="K341" s="3">
        <f>SUM(GMIC_22A_SCDPT4!SCDPT4_190BEGINNG_9:GMIC_22A_SCDPT4!SCDPT4_190ENDINGG_9)</f>
        <v>0</v>
      </c>
      <c r="L341" s="3">
        <f>SUM(GMIC_22A_SCDPT4!SCDPT4_190BEGINNG_10:GMIC_22A_SCDPT4!SCDPT4_190ENDINGG_10)</f>
        <v>0</v>
      </c>
      <c r="M341" s="3">
        <f>SUM(GMIC_22A_SCDPT4!SCDPT4_190BEGINNG_11:GMIC_22A_SCDPT4!SCDPT4_190ENDINGG_11)</f>
        <v>0</v>
      </c>
      <c r="N341" s="3">
        <f>SUM(GMIC_22A_SCDPT4!SCDPT4_190BEGINNG_12:GMIC_22A_SCDPT4!SCDPT4_190ENDINGG_12)</f>
        <v>0</v>
      </c>
      <c r="O341" s="3">
        <f>SUM(GMIC_22A_SCDPT4!SCDPT4_190BEGINNG_13:GMIC_22A_SCDPT4!SCDPT4_190ENDINGG_13)</f>
        <v>0</v>
      </c>
      <c r="P341" s="3">
        <f>SUM(GMIC_22A_SCDPT4!SCDPT4_190BEGINNG_14:GMIC_22A_SCDPT4!SCDPT4_190ENDINGG_14)</f>
        <v>0</v>
      </c>
      <c r="Q341" s="3">
        <f>SUM(GMIC_22A_SCDPT4!SCDPT4_190BEGINNG_15:GMIC_22A_SCDPT4!SCDPT4_190ENDINGG_15)</f>
        <v>0</v>
      </c>
      <c r="R341" s="3">
        <f>SUM(GMIC_22A_SCDPT4!SCDPT4_190BEGINNG_16:GMIC_22A_SCDPT4!SCDPT4_190ENDINGG_16)</f>
        <v>0</v>
      </c>
      <c r="S341" s="3">
        <f>SUM(GMIC_22A_SCDPT4!SCDPT4_190BEGINNG_17:GMIC_22A_SCDPT4!SCDPT4_190ENDINGG_17)</f>
        <v>0</v>
      </c>
      <c r="T341" s="3">
        <f>SUM(GMIC_22A_SCDPT4!SCDPT4_190BEGINNG_18:GMIC_22A_SCDPT4!SCDPT4_190ENDINGG_18)</f>
        <v>0</v>
      </c>
      <c r="U341" s="3">
        <f>SUM(GMIC_22A_SCDPT4!SCDPT4_190BEGINNG_19:GMIC_22A_SCDPT4!SCDPT4_190ENDINGG_19)</f>
        <v>0</v>
      </c>
      <c r="V341" s="3">
        <f>SUM(GMIC_22A_SCDPT4!SCDPT4_190BEGINNG_20:GMIC_22A_SCDPT4!SCDPT4_190ENDINGG_20)</f>
        <v>0</v>
      </c>
      <c r="W341" s="2"/>
      <c r="X341" s="2"/>
      <c r="Y341" s="2"/>
      <c r="Z341" s="2"/>
      <c r="AA341" s="2"/>
      <c r="AB341" s="2"/>
      <c r="AC341" s="2"/>
    </row>
    <row r="342" spans="2:29" x14ac:dyDescent="0.3">
      <c r="B342" s="7" t="s">
        <v>2744</v>
      </c>
      <c r="C342" s="1" t="s">
        <v>2744</v>
      </c>
      <c r="D342" s="8" t="s">
        <v>2744</v>
      </c>
      <c r="E342" s="1" t="s">
        <v>2744</v>
      </c>
      <c r="F342" s="1" t="s">
        <v>2744</v>
      </c>
      <c r="G342" s="1" t="s">
        <v>2744</v>
      </c>
      <c r="H342" s="1" t="s">
        <v>2744</v>
      </c>
      <c r="I342" s="1" t="s">
        <v>2744</v>
      </c>
      <c r="J342" s="1" t="s">
        <v>2744</v>
      </c>
      <c r="K342" s="1" t="s">
        <v>2744</v>
      </c>
      <c r="L342" s="1" t="s">
        <v>2744</v>
      </c>
      <c r="M342" s="1" t="s">
        <v>2744</v>
      </c>
      <c r="N342" s="1" t="s">
        <v>2744</v>
      </c>
      <c r="O342" s="1" t="s">
        <v>2744</v>
      </c>
      <c r="P342" s="1" t="s">
        <v>2744</v>
      </c>
      <c r="Q342" s="1" t="s">
        <v>2744</v>
      </c>
      <c r="R342" s="1" t="s">
        <v>2744</v>
      </c>
      <c r="S342" s="1" t="s">
        <v>2744</v>
      </c>
      <c r="T342" s="1" t="s">
        <v>2744</v>
      </c>
      <c r="U342" s="1" t="s">
        <v>2744</v>
      </c>
      <c r="V342" s="1" t="s">
        <v>2744</v>
      </c>
      <c r="W342" s="1" t="s">
        <v>2744</v>
      </c>
      <c r="X342" s="1" t="s">
        <v>2744</v>
      </c>
      <c r="Y342" s="1" t="s">
        <v>2744</v>
      </c>
      <c r="Z342" s="1" t="s">
        <v>2744</v>
      </c>
      <c r="AA342" s="1" t="s">
        <v>2744</v>
      </c>
      <c r="AB342" s="1" t="s">
        <v>2744</v>
      </c>
      <c r="AC342" s="1" t="s">
        <v>2744</v>
      </c>
    </row>
    <row r="343" spans="2:29" x14ac:dyDescent="0.3">
      <c r="B343" s="18" t="s">
        <v>445</v>
      </c>
      <c r="C343" s="25" t="s">
        <v>3897</v>
      </c>
      <c r="D343" s="15" t="s">
        <v>2</v>
      </c>
      <c r="E343" s="20" t="s">
        <v>2</v>
      </c>
      <c r="F343" s="6"/>
      <c r="G343" s="5" t="s">
        <v>2</v>
      </c>
      <c r="H343" s="2"/>
      <c r="I343" s="4"/>
      <c r="J343" s="4"/>
      <c r="K343" s="4"/>
      <c r="L343" s="4"/>
      <c r="M343" s="4"/>
      <c r="N343" s="4"/>
      <c r="O343" s="4"/>
      <c r="P343" s="24"/>
      <c r="Q343" s="4"/>
      <c r="R343" s="4"/>
      <c r="S343" s="4"/>
      <c r="T343" s="4"/>
      <c r="U343" s="24"/>
      <c r="V343" s="4"/>
      <c r="W343" s="6"/>
      <c r="X343" s="2"/>
      <c r="Y343" s="5" t="s">
        <v>2</v>
      </c>
      <c r="Z343" s="5" t="s">
        <v>2</v>
      </c>
      <c r="AA343" s="5" t="s">
        <v>2</v>
      </c>
      <c r="AB343" s="21" t="s">
        <v>2</v>
      </c>
      <c r="AC343" s="26" t="s">
        <v>2</v>
      </c>
    </row>
    <row r="344" spans="2:29" x14ac:dyDescent="0.3">
      <c r="B344" s="7" t="s">
        <v>2744</v>
      </c>
      <c r="C344" s="1" t="s">
        <v>2744</v>
      </c>
      <c r="D344" s="8" t="s">
        <v>2744</v>
      </c>
      <c r="E344" s="1" t="s">
        <v>2744</v>
      </c>
      <c r="F344" s="1" t="s">
        <v>2744</v>
      </c>
      <c r="G344" s="1" t="s">
        <v>2744</v>
      </c>
      <c r="H344" s="1" t="s">
        <v>2744</v>
      </c>
      <c r="I344" s="1" t="s">
        <v>2744</v>
      </c>
      <c r="J344" s="1" t="s">
        <v>2744</v>
      </c>
      <c r="K344" s="1" t="s">
        <v>2744</v>
      </c>
      <c r="L344" s="1" t="s">
        <v>2744</v>
      </c>
      <c r="M344" s="1" t="s">
        <v>2744</v>
      </c>
      <c r="N344" s="1" t="s">
        <v>2744</v>
      </c>
      <c r="O344" s="1" t="s">
        <v>2744</v>
      </c>
      <c r="P344" s="1" t="s">
        <v>2744</v>
      </c>
      <c r="Q344" s="1" t="s">
        <v>2744</v>
      </c>
      <c r="R344" s="1" t="s">
        <v>2744</v>
      </c>
      <c r="S344" s="1" t="s">
        <v>2744</v>
      </c>
      <c r="T344" s="1" t="s">
        <v>2744</v>
      </c>
      <c r="U344" s="1" t="s">
        <v>2744</v>
      </c>
      <c r="V344" s="1" t="s">
        <v>2744</v>
      </c>
      <c r="W344" s="1" t="s">
        <v>2744</v>
      </c>
      <c r="X344" s="1" t="s">
        <v>2744</v>
      </c>
      <c r="Y344" s="1" t="s">
        <v>2744</v>
      </c>
      <c r="Z344" s="1" t="s">
        <v>2744</v>
      </c>
      <c r="AA344" s="1" t="s">
        <v>2744</v>
      </c>
      <c r="AB344" s="1" t="s">
        <v>2744</v>
      </c>
      <c r="AC344" s="1" t="s">
        <v>2744</v>
      </c>
    </row>
    <row r="345" spans="2:29" ht="28" x14ac:dyDescent="0.3">
      <c r="B345" s="19" t="s">
        <v>1338</v>
      </c>
      <c r="C345" s="17" t="s">
        <v>698</v>
      </c>
      <c r="D345" s="16"/>
      <c r="E345" s="2"/>
      <c r="F345" s="2"/>
      <c r="G345" s="2"/>
      <c r="H345" s="2"/>
      <c r="I345" s="3">
        <f>SUM(GMIC_22A_SCDPT4!SCDPT4_201BEGINNG_7:GMIC_22A_SCDPT4!SCDPT4_201ENDINGG_7)</f>
        <v>0</v>
      </c>
      <c r="J345" s="3">
        <f>SUM(GMIC_22A_SCDPT4!SCDPT4_201BEGINNG_8:GMIC_22A_SCDPT4!SCDPT4_201ENDINGG_8)</f>
        <v>0</v>
      </c>
      <c r="K345" s="3">
        <f>SUM(GMIC_22A_SCDPT4!SCDPT4_201BEGINNG_9:GMIC_22A_SCDPT4!SCDPT4_201ENDINGG_9)</f>
        <v>0</v>
      </c>
      <c r="L345" s="3">
        <f>SUM(GMIC_22A_SCDPT4!SCDPT4_201BEGINNG_10:GMIC_22A_SCDPT4!SCDPT4_201ENDINGG_10)</f>
        <v>0</v>
      </c>
      <c r="M345" s="3">
        <f>SUM(GMIC_22A_SCDPT4!SCDPT4_201BEGINNG_11:GMIC_22A_SCDPT4!SCDPT4_201ENDINGG_11)</f>
        <v>0</v>
      </c>
      <c r="N345" s="3">
        <f>SUM(GMIC_22A_SCDPT4!SCDPT4_201BEGINNG_12:GMIC_22A_SCDPT4!SCDPT4_201ENDINGG_12)</f>
        <v>0</v>
      </c>
      <c r="O345" s="3">
        <f>SUM(GMIC_22A_SCDPT4!SCDPT4_201BEGINNG_13:GMIC_22A_SCDPT4!SCDPT4_201ENDINGG_13)</f>
        <v>0</v>
      </c>
      <c r="P345" s="3">
        <f>SUM(GMIC_22A_SCDPT4!SCDPT4_201BEGINNG_14:GMIC_22A_SCDPT4!SCDPT4_201ENDINGG_14)</f>
        <v>0</v>
      </c>
      <c r="Q345" s="3">
        <f>SUM(GMIC_22A_SCDPT4!SCDPT4_201BEGINNG_15:GMIC_22A_SCDPT4!SCDPT4_201ENDINGG_15)</f>
        <v>0</v>
      </c>
      <c r="R345" s="3">
        <f>SUM(GMIC_22A_SCDPT4!SCDPT4_201BEGINNG_16:GMIC_22A_SCDPT4!SCDPT4_201ENDINGG_16)</f>
        <v>0</v>
      </c>
      <c r="S345" s="3">
        <f>SUM(GMIC_22A_SCDPT4!SCDPT4_201BEGINNG_17:GMIC_22A_SCDPT4!SCDPT4_201ENDINGG_17)</f>
        <v>0</v>
      </c>
      <c r="T345" s="3">
        <f>SUM(GMIC_22A_SCDPT4!SCDPT4_201BEGINNG_18:GMIC_22A_SCDPT4!SCDPT4_201ENDINGG_18)</f>
        <v>0</v>
      </c>
      <c r="U345" s="3">
        <f>SUM(GMIC_22A_SCDPT4!SCDPT4_201BEGINNG_19:GMIC_22A_SCDPT4!SCDPT4_201ENDINGG_19)</f>
        <v>0</v>
      </c>
      <c r="V345" s="3">
        <f>SUM(GMIC_22A_SCDPT4!SCDPT4_201BEGINNG_20:GMIC_22A_SCDPT4!SCDPT4_201ENDINGG_20)</f>
        <v>0</v>
      </c>
      <c r="W345" s="2"/>
      <c r="X345" s="2"/>
      <c r="Y345" s="2"/>
      <c r="Z345" s="2"/>
      <c r="AA345" s="2"/>
      <c r="AB345" s="2"/>
      <c r="AC345" s="2"/>
    </row>
    <row r="346" spans="2:29" x14ac:dyDescent="0.3">
      <c r="B346" s="19" t="s">
        <v>1359</v>
      </c>
      <c r="C346" s="17" t="s">
        <v>254</v>
      </c>
      <c r="D346" s="16"/>
      <c r="E346" s="2"/>
      <c r="F346" s="2"/>
      <c r="G346" s="2"/>
      <c r="H346" s="2"/>
      <c r="I346" s="3">
        <f>GMIC_22A_SCDPT4!SCDPT4_0109999999_7+GMIC_22A_SCDPT4!SCDPT4_0309999999_7+GMIC_22A_SCDPT4!SCDPT4_0509999999_7+GMIC_22A_SCDPT4!SCDPT4_0709999999_7+GMIC_22A_SCDPT4!SCDPT4_0909999999_7+GMIC_22A_SCDPT4!SCDPT4_1109999999_7+GMIC_22A_SCDPT4!SCDPT4_1309999999_7+GMIC_22A_SCDPT4!SCDPT4_1509999999_7+GMIC_22A_SCDPT4!SCDPT4_1619999999_7+GMIC_22A_SCDPT4!SCDPT4_1909999999_7+GMIC_22A_SCDPT4!SCDPT4_2019999999_7</f>
        <v>1015238660</v>
      </c>
      <c r="J346" s="3">
        <f>GMIC_22A_SCDPT4!SCDPT4_0109999999_8+GMIC_22A_SCDPT4!SCDPT4_0309999999_8+GMIC_22A_SCDPT4!SCDPT4_0509999999_8+GMIC_22A_SCDPT4!SCDPT4_0709999999_8+GMIC_22A_SCDPT4!SCDPT4_0909999999_8+GMIC_22A_SCDPT4!SCDPT4_1109999999_8+GMIC_22A_SCDPT4!SCDPT4_1309999999_8+GMIC_22A_SCDPT4!SCDPT4_1509999999_8+GMIC_22A_SCDPT4!SCDPT4_1619999999_8+GMIC_22A_SCDPT4!SCDPT4_1909999999_8+GMIC_22A_SCDPT4!SCDPT4_2019999999_8</f>
        <v>1020566442</v>
      </c>
      <c r="K346" s="3">
        <f>GMIC_22A_SCDPT4!SCDPT4_0109999999_9+GMIC_22A_SCDPT4!SCDPT4_0309999999_9+GMIC_22A_SCDPT4!SCDPT4_0509999999_9+GMIC_22A_SCDPT4!SCDPT4_0709999999_9+GMIC_22A_SCDPT4!SCDPT4_0909999999_9+GMIC_22A_SCDPT4!SCDPT4_1109999999_9+GMIC_22A_SCDPT4!SCDPT4_1309999999_9+GMIC_22A_SCDPT4!SCDPT4_1509999999_9+GMIC_22A_SCDPT4!SCDPT4_1619999999_9+GMIC_22A_SCDPT4!SCDPT4_1909999999_9+GMIC_22A_SCDPT4!SCDPT4_2019999999_9</f>
        <v>1011465049</v>
      </c>
      <c r="L346" s="3">
        <f>GMIC_22A_SCDPT4!SCDPT4_0109999999_10+GMIC_22A_SCDPT4!SCDPT4_0309999999_10+GMIC_22A_SCDPT4!SCDPT4_0509999999_10+GMIC_22A_SCDPT4!SCDPT4_0709999999_10+GMIC_22A_SCDPT4!SCDPT4_0909999999_10+GMIC_22A_SCDPT4!SCDPT4_1109999999_10+GMIC_22A_SCDPT4!SCDPT4_1309999999_10+GMIC_22A_SCDPT4!SCDPT4_1509999999_10+GMIC_22A_SCDPT4!SCDPT4_1619999999_10+GMIC_22A_SCDPT4!SCDPT4_1909999999_10+GMIC_22A_SCDPT4!SCDPT4_2019999999_10</f>
        <v>1015835431</v>
      </c>
      <c r="M346" s="3">
        <f>GMIC_22A_SCDPT4!SCDPT4_0109999999_11+GMIC_22A_SCDPT4!SCDPT4_0309999999_11+GMIC_22A_SCDPT4!SCDPT4_0509999999_11+GMIC_22A_SCDPT4!SCDPT4_0709999999_11+GMIC_22A_SCDPT4!SCDPT4_0909999999_11+GMIC_22A_SCDPT4!SCDPT4_1109999999_11+GMIC_22A_SCDPT4!SCDPT4_1309999999_11+GMIC_22A_SCDPT4!SCDPT4_1509999999_11+GMIC_22A_SCDPT4!SCDPT4_1619999999_11+GMIC_22A_SCDPT4!SCDPT4_1909999999_11+GMIC_22A_SCDPT4!SCDPT4_2019999999_11</f>
        <v>10238</v>
      </c>
      <c r="N346" s="3">
        <f>GMIC_22A_SCDPT4!SCDPT4_0109999999_12+GMIC_22A_SCDPT4!SCDPT4_0309999999_12+GMIC_22A_SCDPT4!SCDPT4_0509999999_12+GMIC_22A_SCDPT4!SCDPT4_0709999999_12+GMIC_22A_SCDPT4!SCDPT4_0909999999_12+GMIC_22A_SCDPT4!SCDPT4_1109999999_12+GMIC_22A_SCDPT4!SCDPT4_1309999999_12+GMIC_22A_SCDPT4!SCDPT4_1509999999_12+GMIC_22A_SCDPT4!SCDPT4_1619999999_12+GMIC_22A_SCDPT4!SCDPT4_1909999999_12+GMIC_22A_SCDPT4!SCDPT4_2019999999_12</f>
        <v>485162</v>
      </c>
      <c r="O346" s="3">
        <f>GMIC_22A_SCDPT4!SCDPT4_0109999999_13+GMIC_22A_SCDPT4!SCDPT4_0309999999_13+GMIC_22A_SCDPT4!SCDPT4_0509999999_13+GMIC_22A_SCDPT4!SCDPT4_0709999999_13+GMIC_22A_SCDPT4!SCDPT4_0909999999_13+GMIC_22A_SCDPT4!SCDPT4_1109999999_13+GMIC_22A_SCDPT4!SCDPT4_1309999999_13+GMIC_22A_SCDPT4!SCDPT4_1509999999_13+GMIC_22A_SCDPT4!SCDPT4_1619999999_13+GMIC_22A_SCDPT4!SCDPT4_1909999999_13+GMIC_22A_SCDPT4!SCDPT4_2019999999_13</f>
        <v>0</v>
      </c>
      <c r="P346" s="3">
        <f>GMIC_22A_SCDPT4!SCDPT4_0109999999_14+GMIC_22A_SCDPT4!SCDPT4_0309999999_14+GMIC_22A_SCDPT4!SCDPT4_0509999999_14+GMIC_22A_SCDPT4!SCDPT4_0709999999_14+GMIC_22A_SCDPT4!SCDPT4_0909999999_14+GMIC_22A_SCDPT4!SCDPT4_1109999999_14+GMIC_22A_SCDPT4!SCDPT4_1309999999_14+GMIC_22A_SCDPT4!SCDPT4_1509999999_14+GMIC_22A_SCDPT4!SCDPT4_1619999999_14+GMIC_22A_SCDPT4!SCDPT4_1909999999_14+GMIC_22A_SCDPT4!SCDPT4_2019999999_14</f>
        <v>495400</v>
      </c>
      <c r="Q346" s="3">
        <f>GMIC_22A_SCDPT4!SCDPT4_0109999999_15+GMIC_22A_SCDPT4!SCDPT4_0309999999_15+GMIC_22A_SCDPT4!SCDPT4_0509999999_15+GMIC_22A_SCDPT4!SCDPT4_0709999999_15+GMIC_22A_SCDPT4!SCDPT4_0909999999_15+GMIC_22A_SCDPT4!SCDPT4_1109999999_15+GMIC_22A_SCDPT4!SCDPT4_1309999999_15+GMIC_22A_SCDPT4!SCDPT4_1509999999_15+GMIC_22A_SCDPT4!SCDPT4_1619999999_15+GMIC_22A_SCDPT4!SCDPT4_1909999999_15+GMIC_22A_SCDPT4!SCDPT4_2019999999_15</f>
        <v>0</v>
      </c>
      <c r="R346" s="3">
        <f>GMIC_22A_SCDPT4!SCDPT4_0109999999_16+GMIC_22A_SCDPT4!SCDPT4_0309999999_16+GMIC_22A_SCDPT4!SCDPT4_0509999999_16+GMIC_22A_SCDPT4!SCDPT4_0709999999_16+GMIC_22A_SCDPT4!SCDPT4_0909999999_16+GMIC_22A_SCDPT4!SCDPT4_1109999999_16+GMIC_22A_SCDPT4!SCDPT4_1309999999_16+GMIC_22A_SCDPT4!SCDPT4_1509999999_16+GMIC_22A_SCDPT4!SCDPT4_1619999999_16+GMIC_22A_SCDPT4!SCDPT4_1909999999_16+GMIC_22A_SCDPT4!SCDPT4_2019999999_16</f>
        <v>1016330823</v>
      </c>
      <c r="S346" s="3">
        <f>GMIC_22A_SCDPT4!SCDPT4_0109999999_17+GMIC_22A_SCDPT4!SCDPT4_0309999999_17+GMIC_22A_SCDPT4!SCDPT4_0509999999_17+GMIC_22A_SCDPT4!SCDPT4_0709999999_17+GMIC_22A_SCDPT4!SCDPT4_0909999999_17+GMIC_22A_SCDPT4!SCDPT4_1109999999_17+GMIC_22A_SCDPT4!SCDPT4_1309999999_17+GMIC_22A_SCDPT4!SCDPT4_1509999999_17+GMIC_22A_SCDPT4!SCDPT4_1619999999_17+GMIC_22A_SCDPT4!SCDPT4_1909999999_17+GMIC_22A_SCDPT4!SCDPT4_2019999999_17</f>
        <v>0</v>
      </c>
      <c r="T346" s="3">
        <f>GMIC_22A_SCDPT4!SCDPT4_0109999999_18+GMIC_22A_SCDPT4!SCDPT4_0309999999_18+GMIC_22A_SCDPT4!SCDPT4_0509999999_18+GMIC_22A_SCDPT4!SCDPT4_0709999999_18+GMIC_22A_SCDPT4!SCDPT4_0909999999_18+GMIC_22A_SCDPT4!SCDPT4_1109999999_18+GMIC_22A_SCDPT4!SCDPT4_1309999999_18+GMIC_22A_SCDPT4!SCDPT4_1509999999_18+GMIC_22A_SCDPT4!SCDPT4_1619999999_18+GMIC_22A_SCDPT4!SCDPT4_1909999999_18+GMIC_22A_SCDPT4!SCDPT4_2019999999_18</f>
        <v>-2158498</v>
      </c>
      <c r="U346" s="3">
        <f>GMIC_22A_SCDPT4!SCDPT4_0109999999_19+GMIC_22A_SCDPT4!SCDPT4_0309999999_19+GMIC_22A_SCDPT4!SCDPT4_0509999999_19+GMIC_22A_SCDPT4!SCDPT4_0709999999_19+GMIC_22A_SCDPT4!SCDPT4_0909999999_19+GMIC_22A_SCDPT4!SCDPT4_1109999999_19+GMIC_22A_SCDPT4!SCDPT4_1309999999_19+GMIC_22A_SCDPT4!SCDPT4_1509999999_19+GMIC_22A_SCDPT4!SCDPT4_1619999999_19+GMIC_22A_SCDPT4!SCDPT4_1909999999_19+GMIC_22A_SCDPT4!SCDPT4_2019999999_19</f>
        <v>-2158498</v>
      </c>
      <c r="V346" s="3">
        <f>GMIC_22A_SCDPT4!SCDPT4_0109999999_20+GMIC_22A_SCDPT4!SCDPT4_0309999999_20+GMIC_22A_SCDPT4!SCDPT4_0509999999_20+GMIC_22A_SCDPT4!SCDPT4_0709999999_20+GMIC_22A_SCDPT4!SCDPT4_0909999999_20+GMIC_22A_SCDPT4!SCDPT4_1109999999_20+GMIC_22A_SCDPT4!SCDPT4_1309999999_20+GMIC_22A_SCDPT4!SCDPT4_1509999999_20+GMIC_22A_SCDPT4!SCDPT4_1619999999_20+GMIC_22A_SCDPT4!SCDPT4_1909999999_20+GMIC_22A_SCDPT4!SCDPT4_2019999999_20</f>
        <v>23619429</v>
      </c>
      <c r="W346" s="2"/>
      <c r="X346" s="2"/>
      <c r="Y346" s="2"/>
      <c r="Z346" s="2"/>
      <c r="AA346" s="2"/>
      <c r="AB346" s="2"/>
      <c r="AC346" s="2"/>
    </row>
    <row r="347" spans="2:29" x14ac:dyDescent="0.3">
      <c r="B347" s="19" t="s">
        <v>2487</v>
      </c>
      <c r="C347" s="17" t="s">
        <v>1360</v>
      </c>
      <c r="D347" s="16"/>
      <c r="E347" s="2"/>
      <c r="F347" s="2"/>
      <c r="G347" s="2"/>
      <c r="H347" s="2"/>
      <c r="I347" s="36">
        <v>27087723</v>
      </c>
      <c r="J347" s="36">
        <v>26794881.629999999</v>
      </c>
      <c r="K347" s="36">
        <v>26627842</v>
      </c>
      <c r="L347" s="4">
        <v>0</v>
      </c>
      <c r="M347" s="36">
        <v>0</v>
      </c>
      <c r="N347" s="36">
        <v>25958</v>
      </c>
      <c r="O347" s="36">
        <v>0</v>
      </c>
      <c r="P347" s="36">
        <v>25958</v>
      </c>
      <c r="Q347" s="36">
        <v>0</v>
      </c>
      <c r="R347" s="36">
        <v>26653800</v>
      </c>
      <c r="S347" s="36">
        <v>0</v>
      </c>
      <c r="T347" s="36">
        <v>27273</v>
      </c>
      <c r="U347" s="36">
        <v>27273</v>
      </c>
      <c r="V347" s="36">
        <v>745083</v>
      </c>
      <c r="W347" s="2"/>
      <c r="X347" s="2"/>
      <c r="Y347" s="2"/>
      <c r="Z347" s="2"/>
      <c r="AA347" s="2"/>
      <c r="AB347" s="2"/>
      <c r="AC347" s="2"/>
    </row>
    <row r="348" spans="2:29" x14ac:dyDescent="0.3">
      <c r="B348" s="19" t="s">
        <v>3595</v>
      </c>
      <c r="C348" s="17" t="s">
        <v>2488</v>
      </c>
      <c r="D348" s="16"/>
      <c r="E348" s="2"/>
      <c r="F348" s="2"/>
      <c r="G348" s="2"/>
      <c r="H348" s="2"/>
      <c r="I348" s="3">
        <f>GMIC_22A_SCDPT4!SCDPT4_2509999997_7+GMIC_22A_SCDPT4!SCDPT4_2509999998_7</f>
        <v>1042326383</v>
      </c>
      <c r="J348" s="3">
        <f>GMIC_22A_SCDPT4!SCDPT4_2509999997_8+GMIC_22A_SCDPT4!SCDPT4_2509999998_8</f>
        <v>1047361323.63</v>
      </c>
      <c r="K348" s="3">
        <f>GMIC_22A_SCDPT4!SCDPT4_2509999997_9+GMIC_22A_SCDPT4!SCDPT4_2509999998_9</f>
        <v>1038092891</v>
      </c>
      <c r="L348" s="3">
        <f>GMIC_22A_SCDPT4!SCDPT4_2509999997_10+GMIC_22A_SCDPT4!SCDPT4_2509999998_10</f>
        <v>1015835431</v>
      </c>
      <c r="M348" s="3">
        <f>GMIC_22A_SCDPT4!SCDPT4_2509999997_11+GMIC_22A_SCDPT4!SCDPT4_2509999998_11</f>
        <v>10238</v>
      </c>
      <c r="N348" s="3">
        <f>GMIC_22A_SCDPT4!SCDPT4_2509999997_12+GMIC_22A_SCDPT4!SCDPT4_2509999998_12</f>
        <v>511120</v>
      </c>
      <c r="O348" s="3">
        <f>GMIC_22A_SCDPT4!SCDPT4_2509999997_13+GMIC_22A_SCDPT4!SCDPT4_2509999998_13</f>
        <v>0</v>
      </c>
      <c r="P348" s="3">
        <f>GMIC_22A_SCDPT4!SCDPT4_2509999997_14+GMIC_22A_SCDPT4!SCDPT4_2509999998_14</f>
        <v>521358</v>
      </c>
      <c r="Q348" s="3">
        <f>GMIC_22A_SCDPT4!SCDPT4_2509999997_15+GMIC_22A_SCDPT4!SCDPT4_2509999998_15</f>
        <v>0</v>
      </c>
      <c r="R348" s="3">
        <f>GMIC_22A_SCDPT4!SCDPT4_2509999997_16+GMIC_22A_SCDPT4!SCDPT4_2509999998_16</f>
        <v>1042984623</v>
      </c>
      <c r="S348" s="3">
        <f>GMIC_22A_SCDPT4!SCDPT4_2509999997_17+GMIC_22A_SCDPT4!SCDPT4_2509999998_17</f>
        <v>0</v>
      </c>
      <c r="T348" s="3">
        <f>GMIC_22A_SCDPT4!SCDPT4_2509999997_18+GMIC_22A_SCDPT4!SCDPT4_2509999998_18</f>
        <v>-2131225</v>
      </c>
      <c r="U348" s="3">
        <f>GMIC_22A_SCDPT4!SCDPT4_2509999997_19+GMIC_22A_SCDPT4!SCDPT4_2509999998_19</f>
        <v>-2131225</v>
      </c>
      <c r="V348" s="3">
        <f>GMIC_22A_SCDPT4!SCDPT4_2509999997_20+GMIC_22A_SCDPT4!SCDPT4_2509999998_20</f>
        <v>24364512</v>
      </c>
      <c r="W348" s="2"/>
      <c r="X348" s="2"/>
      <c r="Y348" s="2"/>
      <c r="Z348" s="2"/>
      <c r="AA348" s="2"/>
      <c r="AB348" s="2"/>
      <c r="AC348" s="2"/>
    </row>
    <row r="349" spans="2:29" x14ac:dyDescent="0.3">
      <c r="B349" s="7" t="s">
        <v>2744</v>
      </c>
      <c r="C349" s="1" t="s">
        <v>2744</v>
      </c>
      <c r="D349" s="8" t="s">
        <v>2744</v>
      </c>
      <c r="E349" s="1" t="s">
        <v>2744</v>
      </c>
      <c r="F349" s="1" t="s">
        <v>2744</v>
      </c>
      <c r="G349" s="1" t="s">
        <v>2744</v>
      </c>
      <c r="H349" s="1" t="s">
        <v>2744</v>
      </c>
      <c r="I349" s="1" t="s">
        <v>2744</v>
      </c>
      <c r="J349" s="1" t="s">
        <v>2744</v>
      </c>
      <c r="K349" s="1" t="s">
        <v>2744</v>
      </c>
      <c r="L349" s="1" t="s">
        <v>2744</v>
      </c>
      <c r="M349" s="1" t="s">
        <v>2744</v>
      </c>
      <c r="N349" s="1" t="s">
        <v>2744</v>
      </c>
      <c r="O349" s="1" t="s">
        <v>2744</v>
      </c>
      <c r="P349" s="1" t="s">
        <v>2744</v>
      </c>
      <c r="Q349" s="1" t="s">
        <v>2744</v>
      </c>
      <c r="R349" s="1" t="s">
        <v>2744</v>
      </c>
      <c r="S349" s="1" t="s">
        <v>2744</v>
      </c>
      <c r="T349" s="1" t="s">
        <v>2744</v>
      </c>
      <c r="U349" s="1" t="s">
        <v>2744</v>
      </c>
      <c r="V349" s="1" t="s">
        <v>2744</v>
      </c>
      <c r="W349" s="1" t="s">
        <v>2744</v>
      </c>
      <c r="X349" s="1" t="s">
        <v>2744</v>
      </c>
      <c r="Y349" s="1" t="s">
        <v>2744</v>
      </c>
      <c r="Z349" s="1" t="s">
        <v>2744</v>
      </c>
      <c r="AA349" s="1" t="s">
        <v>2744</v>
      </c>
      <c r="AB349" s="1" t="s">
        <v>2744</v>
      </c>
      <c r="AC349" s="1" t="s">
        <v>2744</v>
      </c>
    </row>
    <row r="350" spans="2:29" x14ac:dyDescent="0.3">
      <c r="B350" s="18" t="s">
        <v>4115</v>
      </c>
      <c r="C350" s="25" t="s">
        <v>3897</v>
      </c>
      <c r="D350" s="15" t="s">
        <v>2</v>
      </c>
      <c r="E350" s="20" t="s">
        <v>2</v>
      </c>
      <c r="F350" s="6"/>
      <c r="G350" s="5" t="s">
        <v>2</v>
      </c>
      <c r="H350" s="28"/>
      <c r="I350" s="4"/>
      <c r="J350" s="60"/>
      <c r="K350" s="4"/>
      <c r="L350" s="4"/>
      <c r="M350" s="4"/>
      <c r="N350" s="4"/>
      <c r="O350" s="4"/>
      <c r="P350" s="24"/>
      <c r="Q350" s="4"/>
      <c r="R350" s="4"/>
      <c r="S350" s="4"/>
      <c r="T350" s="4"/>
      <c r="U350" s="24"/>
      <c r="V350" s="4"/>
      <c r="W350" s="2"/>
      <c r="X350" s="2"/>
      <c r="Y350" s="5" t="s">
        <v>2</v>
      </c>
      <c r="Z350" s="5" t="s">
        <v>2</v>
      </c>
      <c r="AA350" s="5" t="s">
        <v>2</v>
      </c>
      <c r="AB350" s="21" t="s">
        <v>2</v>
      </c>
      <c r="AC350" s="26" t="s">
        <v>2</v>
      </c>
    </row>
    <row r="351" spans="2:29" x14ac:dyDescent="0.3">
      <c r="B351" s="7" t="s">
        <v>2744</v>
      </c>
      <c r="C351" s="1" t="s">
        <v>2744</v>
      </c>
      <c r="D351" s="8" t="s">
        <v>2744</v>
      </c>
      <c r="E351" s="1" t="s">
        <v>2744</v>
      </c>
      <c r="F351" s="1" t="s">
        <v>2744</v>
      </c>
      <c r="G351" s="1" t="s">
        <v>2744</v>
      </c>
      <c r="H351" s="1" t="s">
        <v>2744</v>
      </c>
      <c r="I351" s="1" t="s">
        <v>2744</v>
      </c>
      <c r="J351" s="1" t="s">
        <v>2744</v>
      </c>
      <c r="K351" s="1" t="s">
        <v>2744</v>
      </c>
      <c r="L351" s="1" t="s">
        <v>2744</v>
      </c>
      <c r="M351" s="1" t="s">
        <v>2744</v>
      </c>
      <c r="N351" s="1" t="s">
        <v>2744</v>
      </c>
      <c r="O351" s="1" t="s">
        <v>2744</v>
      </c>
      <c r="P351" s="1" t="s">
        <v>2744</v>
      </c>
      <c r="Q351" s="1" t="s">
        <v>2744</v>
      </c>
      <c r="R351" s="1" t="s">
        <v>2744</v>
      </c>
      <c r="S351" s="1" t="s">
        <v>2744</v>
      </c>
      <c r="T351" s="1" t="s">
        <v>2744</v>
      </c>
      <c r="U351" s="1" t="s">
        <v>2744</v>
      </c>
      <c r="V351" s="1" t="s">
        <v>2744</v>
      </c>
      <c r="W351" s="1" t="s">
        <v>2744</v>
      </c>
      <c r="X351" s="1" t="s">
        <v>2744</v>
      </c>
      <c r="Y351" s="1" t="s">
        <v>2744</v>
      </c>
      <c r="Z351" s="1" t="s">
        <v>2744</v>
      </c>
      <c r="AA351" s="1" t="s">
        <v>2744</v>
      </c>
      <c r="AB351" s="1" t="s">
        <v>2744</v>
      </c>
      <c r="AC351" s="1" t="s">
        <v>2744</v>
      </c>
    </row>
    <row r="352" spans="2:29" ht="56" x14ac:dyDescent="0.3">
      <c r="B352" s="19" t="s">
        <v>700</v>
      </c>
      <c r="C352" s="17" t="s">
        <v>4136</v>
      </c>
      <c r="D352" s="16"/>
      <c r="E352" s="2"/>
      <c r="F352" s="2"/>
      <c r="G352" s="2"/>
      <c r="H352" s="2"/>
      <c r="I352" s="3">
        <f>SUM(GMIC_22A_SCDPT4!SCDPT4_401BEGINNG_7:GMIC_22A_SCDPT4!SCDPT4_401ENDINGG_7)</f>
        <v>0</v>
      </c>
      <c r="J352" s="2"/>
      <c r="K352" s="3">
        <f>SUM(GMIC_22A_SCDPT4!SCDPT4_401BEGINNG_9:GMIC_22A_SCDPT4!SCDPT4_401ENDINGG_9)</f>
        <v>0</v>
      </c>
      <c r="L352" s="3">
        <f>SUM(GMIC_22A_SCDPT4!SCDPT4_401BEGINNG_10:GMIC_22A_SCDPT4!SCDPT4_401ENDINGG_10)</f>
        <v>0</v>
      </c>
      <c r="M352" s="3">
        <f>SUM(GMIC_22A_SCDPT4!SCDPT4_401BEGINNG_11:GMIC_22A_SCDPT4!SCDPT4_401ENDINGG_11)</f>
        <v>0</v>
      </c>
      <c r="N352" s="3">
        <f>SUM(GMIC_22A_SCDPT4!SCDPT4_401BEGINNG_12:GMIC_22A_SCDPT4!SCDPT4_401ENDINGG_12)</f>
        <v>0</v>
      </c>
      <c r="O352" s="3">
        <f>SUM(GMIC_22A_SCDPT4!SCDPT4_401BEGINNG_13:GMIC_22A_SCDPT4!SCDPT4_401ENDINGG_13)</f>
        <v>0</v>
      </c>
      <c r="P352" s="3">
        <f>SUM(GMIC_22A_SCDPT4!SCDPT4_401BEGINNG_14:GMIC_22A_SCDPT4!SCDPT4_401ENDINGG_14)</f>
        <v>0</v>
      </c>
      <c r="Q352" s="3">
        <f>SUM(GMIC_22A_SCDPT4!SCDPT4_401BEGINNG_15:GMIC_22A_SCDPT4!SCDPT4_401ENDINGG_15)</f>
        <v>0</v>
      </c>
      <c r="R352" s="3">
        <f>SUM(GMIC_22A_SCDPT4!SCDPT4_401BEGINNG_16:GMIC_22A_SCDPT4!SCDPT4_401ENDINGG_16)</f>
        <v>0</v>
      </c>
      <c r="S352" s="3">
        <f>SUM(GMIC_22A_SCDPT4!SCDPT4_401BEGINNG_17:GMIC_22A_SCDPT4!SCDPT4_401ENDINGG_17)</f>
        <v>0</v>
      </c>
      <c r="T352" s="3">
        <f>SUM(GMIC_22A_SCDPT4!SCDPT4_401BEGINNG_18:GMIC_22A_SCDPT4!SCDPT4_401ENDINGG_18)</f>
        <v>0</v>
      </c>
      <c r="U352" s="3">
        <f>SUM(GMIC_22A_SCDPT4!SCDPT4_401BEGINNG_19:GMIC_22A_SCDPT4!SCDPT4_401ENDINGG_19)</f>
        <v>0</v>
      </c>
      <c r="V352" s="3">
        <f>SUM(GMIC_22A_SCDPT4!SCDPT4_401BEGINNG_20:GMIC_22A_SCDPT4!SCDPT4_401ENDINGG_20)</f>
        <v>0</v>
      </c>
      <c r="W352" s="2"/>
      <c r="X352" s="2"/>
      <c r="Y352" s="2"/>
      <c r="Z352" s="2"/>
      <c r="AA352" s="2"/>
      <c r="AB352" s="2"/>
      <c r="AC352" s="2"/>
    </row>
    <row r="353" spans="2:29" x14ac:dyDescent="0.3">
      <c r="B353" s="7" t="s">
        <v>2744</v>
      </c>
      <c r="C353" s="1" t="s">
        <v>2744</v>
      </c>
      <c r="D353" s="8" t="s">
        <v>2744</v>
      </c>
      <c r="E353" s="1" t="s">
        <v>2744</v>
      </c>
      <c r="F353" s="1" t="s">
        <v>2744</v>
      </c>
      <c r="G353" s="1" t="s">
        <v>2744</v>
      </c>
      <c r="H353" s="1" t="s">
        <v>2744</v>
      </c>
      <c r="I353" s="1" t="s">
        <v>2744</v>
      </c>
      <c r="J353" s="1" t="s">
        <v>2744</v>
      </c>
      <c r="K353" s="1" t="s">
        <v>2744</v>
      </c>
      <c r="L353" s="1" t="s">
        <v>2744</v>
      </c>
      <c r="M353" s="1" t="s">
        <v>2744</v>
      </c>
      <c r="N353" s="1" t="s">
        <v>2744</v>
      </c>
      <c r="O353" s="1" t="s">
        <v>2744</v>
      </c>
      <c r="P353" s="1" t="s">
        <v>2744</v>
      </c>
      <c r="Q353" s="1" t="s">
        <v>2744</v>
      </c>
      <c r="R353" s="1" t="s">
        <v>2744</v>
      </c>
      <c r="S353" s="1" t="s">
        <v>2744</v>
      </c>
      <c r="T353" s="1" t="s">
        <v>2744</v>
      </c>
      <c r="U353" s="1" t="s">
        <v>2744</v>
      </c>
      <c r="V353" s="1" t="s">
        <v>2744</v>
      </c>
      <c r="W353" s="1" t="s">
        <v>2744</v>
      </c>
      <c r="X353" s="1" t="s">
        <v>2744</v>
      </c>
      <c r="Y353" s="1" t="s">
        <v>2744</v>
      </c>
      <c r="Z353" s="1" t="s">
        <v>2744</v>
      </c>
      <c r="AA353" s="1" t="s">
        <v>2744</v>
      </c>
      <c r="AB353" s="1" t="s">
        <v>2744</v>
      </c>
      <c r="AC353" s="1" t="s">
        <v>2744</v>
      </c>
    </row>
    <row r="354" spans="2:29" x14ac:dyDescent="0.3">
      <c r="B354" s="18" t="s">
        <v>3306</v>
      </c>
      <c r="C354" s="25" t="s">
        <v>3897</v>
      </c>
      <c r="D354" s="15" t="s">
        <v>2</v>
      </c>
      <c r="E354" s="20" t="s">
        <v>2</v>
      </c>
      <c r="F354" s="6"/>
      <c r="G354" s="5" t="s">
        <v>2</v>
      </c>
      <c r="H354" s="28"/>
      <c r="I354" s="4"/>
      <c r="J354" s="60"/>
      <c r="K354" s="4"/>
      <c r="L354" s="4"/>
      <c r="M354" s="4"/>
      <c r="N354" s="4"/>
      <c r="O354" s="4"/>
      <c r="P354" s="24"/>
      <c r="Q354" s="4"/>
      <c r="R354" s="4"/>
      <c r="S354" s="4"/>
      <c r="T354" s="4"/>
      <c r="U354" s="24"/>
      <c r="V354" s="4"/>
      <c r="W354" s="2"/>
      <c r="X354" s="2"/>
      <c r="Y354" s="5" t="s">
        <v>2</v>
      </c>
      <c r="Z354" s="5" t="s">
        <v>2</v>
      </c>
      <c r="AA354" s="5" t="s">
        <v>2</v>
      </c>
      <c r="AB354" s="21" t="s">
        <v>2</v>
      </c>
      <c r="AC354" s="26" t="s">
        <v>2</v>
      </c>
    </row>
    <row r="355" spans="2:29" x14ac:dyDescent="0.3">
      <c r="B355" s="7" t="s">
        <v>2744</v>
      </c>
      <c r="C355" s="1" t="s">
        <v>2744</v>
      </c>
      <c r="D355" s="8" t="s">
        <v>2744</v>
      </c>
      <c r="E355" s="1" t="s">
        <v>2744</v>
      </c>
      <c r="F355" s="1" t="s">
        <v>2744</v>
      </c>
      <c r="G355" s="1" t="s">
        <v>2744</v>
      </c>
      <c r="H355" s="1" t="s">
        <v>2744</v>
      </c>
      <c r="I355" s="1" t="s">
        <v>2744</v>
      </c>
      <c r="J355" s="1" t="s">
        <v>2744</v>
      </c>
      <c r="K355" s="1" t="s">
        <v>2744</v>
      </c>
      <c r="L355" s="1" t="s">
        <v>2744</v>
      </c>
      <c r="M355" s="1" t="s">
        <v>2744</v>
      </c>
      <c r="N355" s="1" t="s">
        <v>2744</v>
      </c>
      <c r="O355" s="1" t="s">
        <v>2744</v>
      </c>
      <c r="P355" s="1" t="s">
        <v>2744</v>
      </c>
      <c r="Q355" s="1" t="s">
        <v>2744</v>
      </c>
      <c r="R355" s="1" t="s">
        <v>2744</v>
      </c>
      <c r="S355" s="1" t="s">
        <v>2744</v>
      </c>
      <c r="T355" s="1" t="s">
        <v>2744</v>
      </c>
      <c r="U355" s="1" t="s">
        <v>2744</v>
      </c>
      <c r="V355" s="1" t="s">
        <v>2744</v>
      </c>
      <c r="W355" s="1" t="s">
        <v>2744</v>
      </c>
      <c r="X355" s="1" t="s">
        <v>2744</v>
      </c>
      <c r="Y355" s="1" t="s">
        <v>2744</v>
      </c>
      <c r="Z355" s="1" t="s">
        <v>2744</v>
      </c>
      <c r="AA355" s="1" t="s">
        <v>2744</v>
      </c>
      <c r="AB355" s="1" t="s">
        <v>2744</v>
      </c>
      <c r="AC355" s="1" t="s">
        <v>2744</v>
      </c>
    </row>
    <row r="356" spans="2:29" ht="56" x14ac:dyDescent="0.3">
      <c r="B356" s="19" t="s">
        <v>4451</v>
      </c>
      <c r="C356" s="17" t="s">
        <v>4137</v>
      </c>
      <c r="D356" s="16"/>
      <c r="E356" s="2"/>
      <c r="F356" s="2"/>
      <c r="G356" s="2"/>
      <c r="H356" s="2"/>
      <c r="I356" s="3">
        <f>SUM(GMIC_22A_SCDPT4!SCDPT4_402BEGINNG_7:GMIC_22A_SCDPT4!SCDPT4_402ENDINGG_7)</f>
        <v>0</v>
      </c>
      <c r="J356" s="2"/>
      <c r="K356" s="3">
        <f>SUM(GMIC_22A_SCDPT4!SCDPT4_402BEGINNG_9:GMIC_22A_SCDPT4!SCDPT4_402ENDINGG_9)</f>
        <v>0</v>
      </c>
      <c r="L356" s="3">
        <f>SUM(GMIC_22A_SCDPT4!SCDPT4_402BEGINNG_10:GMIC_22A_SCDPT4!SCDPT4_402ENDINGG_10)</f>
        <v>0</v>
      </c>
      <c r="M356" s="3">
        <f>SUM(GMIC_22A_SCDPT4!SCDPT4_402BEGINNG_11:GMIC_22A_SCDPT4!SCDPT4_402ENDINGG_11)</f>
        <v>0</v>
      </c>
      <c r="N356" s="3">
        <f>SUM(GMIC_22A_SCDPT4!SCDPT4_402BEGINNG_12:GMIC_22A_SCDPT4!SCDPT4_402ENDINGG_12)</f>
        <v>0</v>
      </c>
      <c r="O356" s="3">
        <f>SUM(GMIC_22A_SCDPT4!SCDPT4_402BEGINNG_13:GMIC_22A_SCDPT4!SCDPT4_402ENDINGG_13)</f>
        <v>0</v>
      </c>
      <c r="P356" s="3">
        <f>SUM(GMIC_22A_SCDPT4!SCDPT4_402BEGINNG_14:GMIC_22A_SCDPT4!SCDPT4_402ENDINGG_14)</f>
        <v>0</v>
      </c>
      <c r="Q356" s="3">
        <f>SUM(GMIC_22A_SCDPT4!SCDPT4_402BEGINNG_15:GMIC_22A_SCDPT4!SCDPT4_402ENDINGG_15)</f>
        <v>0</v>
      </c>
      <c r="R356" s="3">
        <f>SUM(GMIC_22A_SCDPT4!SCDPT4_402BEGINNG_16:GMIC_22A_SCDPT4!SCDPT4_402ENDINGG_16)</f>
        <v>0</v>
      </c>
      <c r="S356" s="3">
        <f>SUM(GMIC_22A_SCDPT4!SCDPT4_402BEGINNG_17:GMIC_22A_SCDPT4!SCDPT4_402ENDINGG_17)</f>
        <v>0</v>
      </c>
      <c r="T356" s="3">
        <f>SUM(GMIC_22A_SCDPT4!SCDPT4_402BEGINNG_18:GMIC_22A_SCDPT4!SCDPT4_402ENDINGG_18)</f>
        <v>0</v>
      </c>
      <c r="U356" s="3">
        <f>SUM(GMIC_22A_SCDPT4!SCDPT4_402BEGINNG_19:GMIC_22A_SCDPT4!SCDPT4_402ENDINGG_19)</f>
        <v>0</v>
      </c>
      <c r="V356" s="3">
        <f>SUM(GMIC_22A_SCDPT4!SCDPT4_402BEGINNG_20:GMIC_22A_SCDPT4!SCDPT4_402ENDINGG_20)</f>
        <v>0</v>
      </c>
      <c r="W356" s="2"/>
      <c r="X356" s="2"/>
      <c r="Y356" s="2"/>
      <c r="Z356" s="2"/>
      <c r="AA356" s="2"/>
      <c r="AB356" s="2"/>
      <c r="AC356" s="2"/>
    </row>
    <row r="357" spans="2:29" x14ac:dyDescent="0.3">
      <c r="B357" s="7" t="s">
        <v>2744</v>
      </c>
      <c r="C357" s="1" t="s">
        <v>2744</v>
      </c>
      <c r="D357" s="8" t="s">
        <v>2744</v>
      </c>
      <c r="E357" s="1" t="s">
        <v>2744</v>
      </c>
      <c r="F357" s="1" t="s">
        <v>2744</v>
      </c>
      <c r="G357" s="1" t="s">
        <v>2744</v>
      </c>
      <c r="H357" s="1" t="s">
        <v>2744</v>
      </c>
      <c r="I357" s="1" t="s">
        <v>2744</v>
      </c>
      <c r="J357" s="1" t="s">
        <v>2744</v>
      </c>
      <c r="K357" s="1" t="s">
        <v>2744</v>
      </c>
      <c r="L357" s="1" t="s">
        <v>2744</v>
      </c>
      <c r="M357" s="1" t="s">
        <v>2744</v>
      </c>
      <c r="N357" s="1" t="s">
        <v>2744</v>
      </c>
      <c r="O357" s="1" t="s">
        <v>2744</v>
      </c>
      <c r="P357" s="1" t="s">
        <v>2744</v>
      </c>
      <c r="Q357" s="1" t="s">
        <v>2744</v>
      </c>
      <c r="R357" s="1" t="s">
        <v>2744</v>
      </c>
      <c r="S357" s="1" t="s">
        <v>2744</v>
      </c>
      <c r="T357" s="1" t="s">
        <v>2744</v>
      </c>
      <c r="U357" s="1" t="s">
        <v>2744</v>
      </c>
      <c r="V357" s="1" t="s">
        <v>2744</v>
      </c>
      <c r="W357" s="1" t="s">
        <v>2744</v>
      </c>
      <c r="X357" s="1" t="s">
        <v>2744</v>
      </c>
      <c r="Y357" s="1" t="s">
        <v>2744</v>
      </c>
      <c r="Z357" s="1" t="s">
        <v>2744</v>
      </c>
      <c r="AA357" s="1" t="s">
        <v>2744</v>
      </c>
      <c r="AB357" s="1" t="s">
        <v>2744</v>
      </c>
      <c r="AC357" s="1" t="s">
        <v>2744</v>
      </c>
    </row>
    <row r="358" spans="2:29" x14ac:dyDescent="0.3">
      <c r="B358" s="18" t="s">
        <v>450</v>
      </c>
      <c r="C358" s="25" t="s">
        <v>3897</v>
      </c>
      <c r="D358" s="15" t="s">
        <v>2</v>
      </c>
      <c r="E358" s="20" t="s">
        <v>2</v>
      </c>
      <c r="F358" s="6"/>
      <c r="G358" s="5" t="s">
        <v>2</v>
      </c>
      <c r="H358" s="28"/>
      <c r="I358" s="4"/>
      <c r="J358" s="60"/>
      <c r="K358" s="4"/>
      <c r="L358" s="4"/>
      <c r="M358" s="4"/>
      <c r="N358" s="4"/>
      <c r="O358" s="4"/>
      <c r="P358" s="24"/>
      <c r="Q358" s="4"/>
      <c r="R358" s="4"/>
      <c r="S358" s="4"/>
      <c r="T358" s="4"/>
      <c r="U358" s="24"/>
      <c r="V358" s="4"/>
      <c r="W358" s="2"/>
      <c r="X358" s="2"/>
      <c r="Y358" s="5" t="s">
        <v>2</v>
      </c>
      <c r="Z358" s="5" t="s">
        <v>2</v>
      </c>
      <c r="AA358" s="5" t="s">
        <v>2</v>
      </c>
      <c r="AB358" s="21" t="s">
        <v>2</v>
      </c>
      <c r="AC358" s="26" t="s">
        <v>2</v>
      </c>
    </row>
    <row r="359" spans="2:29" x14ac:dyDescent="0.3">
      <c r="B359" s="7" t="s">
        <v>2744</v>
      </c>
      <c r="C359" s="1" t="s">
        <v>2744</v>
      </c>
      <c r="D359" s="8" t="s">
        <v>2744</v>
      </c>
      <c r="E359" s="1" t="s">
        <v>2744</v>
      </c>
      <c r="F359" s="1" t="s">
        <v>2744</v>
      </c>
      <c r="G359" s="1" t="s">
        <v>2744</v>
      </c>
      <c r="H359" s="1" t="s">
        <v>2744</v>
      </c>
      <c r="I359" s="1" t="s">
        <v>2744</v>
      </c>
      <c r="J359" s="1" t="s">
        <v>2744</v>
      </c>
      <c r="K359" s="1" t="s">
        <v>2744</v>
      </c>
      <c r="L359" s="1" t="s">
        <v>2744</v>
      </c>
      <c r="M359" s="1" t="s">
        <v>2744</v>
      </c>
      <c r="N359" s="1" t="s">
        <v>2744</v>
      </c>
      <c r="O359" s="1" t="s">
        <v>2744</v>
      </c>
      <c r="P359" s="1" t="s">
        <v>2744</v>
      </c>
      <c r="Q359" s="1" t="s">
        <v>2744</v>
      </c>
      <c r="R359" s="1" t="s">
        <v>2744</v>
      </c>
      <c r="S359" s="1" t="s">
        <v>2744</v>
      </c>
      <c r="T359" s="1" t="s">
        <v>2744</v>
      </c>
      <c r="U359" s="1" t="s">
        <v>2744</v>
      </c>
      <c r="V359" s="1" t="s">
        <v>2744</v>
      </c>
      <c r="W359" s="1" t="s">
        <v>2744</v>
      </c>
      <c r="X359" s="1" t="s">
        <v>2744</v>
      </c>
      <c r="Y359" s="1" t="s">
        <v>2744</v>
      </c>
      <c r="Z359" s="1" t="s">
        <v>2744</v>
      </c>
      <c r="AA359" s="1" t="s">
        <v>2744</v>
      </c>
      <c r="AB359" s="1" t="s">
        <v>2744</v>
      </c>
      <c r="AC359" s="1" t="s">
        <v>2744</v>
      </c>
    </row>
    <row r="360" spans="2:29" ht="42" x14ac:dyDescent="0.3">
      <c r="B360" s="19" t="s">
        <v>1572</v>
      </c>
      <c r="C360" s="17" t="s">
        <v>2999</v>
      </c>
      <c r="D360" s="16"/>
      <c r="E360" s="2"/>
      <c r="F360" s="2"/>
      <c r="G360" s="2"/>
      <c r="H360" s="2"/>
      <c r="I360" s="3">
        <f>SUM(GMIC_22A_SCDPT4!SCDPT4_431BEGINNG_7:GMIC_22A_SCDPT4!SCDPT4_431ENDINGG_7)</f>
        <v>0</v>
      </c>
      <c r="J360" s="2"/>
      <c r="K360" s="3">
        <f>SUM(GMIC_22A_SCDPT4!SCDPT4_431BEGINNG_9:GMIC_22A_SCDPT4!SCDPT4_431ENDINGG_9)</f>
        <v>0</v>
      </c>
      <c r="L360" s="3">
        <f>SUM(GMIC_22A_SCDPT4!SCDPT4_431BEGINNG_10:GMIC_22A_SCDPT4!SCDPT4_431ENDINGG_10)</f>
        <v>0</v>
      </c>
      <c r="M360" s="3">
        <f>SUM(GMIC_22A_SCDPT4!SCDPT4_431BEGINNG_11:GMIC_22A_SCDPT4!SCDPT4_431ENDINGG_11)</f>
        <v>0</v>
      </c>
      <c r="N360" s="3">
        <f>SUM(GMIC_22A_SCDPT4!SCDPT4_431BEGINNG_12:GMIC_22A_SCDPT4!SCDPT4_431ENDINGG_12)</f>
        <v>0</v>
      </c>
      <c r="O360" s="3">
        <f>SUM(GMIC_22A_SCDPT4!SCDPT4_431BEGINNG_13:GMIC_22A_SCDPT4!SCDPT4_431ENDINGG_13)</f>
        <v>0</v>
      </c>
      <c r="P360" s="3">
        <f>SUM(GMIC_22A_SCDPT4!SCDPT4_431BEGINNG_14:GMIC_22A_SCDPT4!SCDPT4_431ENDINGG_14)</f>
        <v>0</v>
      </c>
      <c r="Q360" s="3">
        <f>SUM(GMIC_22A_SCDPT4!SCDPT4_431BEGINNG_15:GMIC_22A_SCDPT4!SCDPT4_431ENDINGG_15)</f>
        <v>0</v>
      </c>
      <c r="R360" s="3">
        <f>SUM(GMIC_22A_SCDPT4!SCDPT4_431BEGINNG_16:GMIC_22A_SCDPT4!SCDPT4_431ENDINGG_16)</f>
        <v>0</v>
      </c>
      <c r="S360" s="3">
        <f>SUM(GMIC_22A_SCDPT4!SCDPT4_431BEGINNG_17:GMIC_22A_SCDPT4!SCDPT4_431ENDINGG_17)</f>
        <v>0</v>
      </c>
      <c r="T360" s="3">
        <f>SUM(GMIC_22A_SCDPT4!SCDPT4_431BEGINNG_18:GMIC_22A_SCDPT4!SCDPT4_431ENDINGG_18)</f>
        <v>0</v>
      </c>
      <c r="U360" s="3">
        <f>SUM(GMIC_22A_SCDPT4!SCDPT4_431BEGINNG_19:GMIC_22A_SCDPT4!SCDPT4_431ENDINGG_19)</f>
        <v>0</v>
      </c>
      <c r="V360" s="3">
        <f>SUM(GMIC_22A_SCDPT4!SCDPT4_431BEGINNG_20:GMIC_22A_SCDPT4!SCDPT4_431ENDINGG_20)</f>
        <v>0</v>
      </c>
      <c r="W360" s="2"/>
      <c r="X360" s="2"/>
      <c r="Y360" s="2"/>
      <c r="Z360" s="2"/>
      <c r="AA360" s="2"/>
      <c r="AB360" s="2"/>
      <c r="AC360" s="2"/>
    </row>
    <row r="361" spans="2:29" x14ac:dyDescent="0.3">
      <c r="B361" s="7" t="s">
        <v>2744</v>
      </c>
      <c r="C361" s="1" t="s">
        <v>2744</v>
      </c>
      <c r="D361" s="8" t="s">
        <v>2744</v>
      </c>
      <c r="E361" s="1" t="s">
        <v>2744</v>
      </c>
      <c r="F361" s="1" t="s">
        <v>2744</v>
      </c>
      <c r="G361" s="1" t="s">
        <v>2744</v>
      </c>
      <c r="H361" s="1" t="s">
        <v>2744</v>
      </c>
      <c r="I361" s="1" t="s">
        <v>2744</v>
      </c>
      <c r="J361" s="1" t="s">
        <v>2744</v>
      </c>
      <c r="K361" s="1" t="s">
        <v>2744</v>
      </c>
      <c r="L361" s="1" t="s">
        <v>2744</v>
      </c>
      <c r="M361" s="1" t="s">
        <v>2744</v>
      </c>
      <c r="N361" s="1" t="s">
        <v>2744</v>
      </c>
      <c r="O361" s="1" t="s">
        <v>2744</v>
      </c>
      <c r="P361" s="1" t="s">
        <v>2744</v>
      </c>
      <c r="Q361" s="1" t="s">
        <v>2744</v>
      </c>
      <c r="R361" s="1" t="s">
        <v>2744</v>
      </c>
      <c r="S361" s="1" t="s">
        <v>2744</v>
      </c>
      <c r="T361" s="1" t="s">
        <v>2744</v>
      </c>
      <c r="U361" s="1" t="s">
        <v>2744</v>
      </c>
      <c r="V361" s="1" t="s">
        <v>2744</v>
      </c>
      <c r="W361" s="1" t="s">
        <v>2744</v>
      </c>
      <c r="X361" s="1" t="s">
        <v>2744</v>
      </c>
      <c r="Y361" s="1" t="s">
        <v>2744</v>
      </c>
      <c r="Z361" s="1" t="s">
        <v>2744</v>
      </c>
      <c r="AA361" s="1" t="s">
        <v>2744</v>
      </c>
      <c r="AB361" s="1" t="s">
        <v>2744</v>
      </c>
      <c r="AC361" s="1" t="s">
        <v>2744</v>
      </c>
    </row>
    <row r="362" spans="2:29" x14ac:dyDescent="0.3">
      <c r="B362" s="18" t="s">
        <v>4116</v>
      </c>
      <c r="C362" s="25" t="s">
        <v>3897</v>
      </c>
      <c r="D362" s="15" t="s">
        <v>2</v>
      </c>
      <c r="E362" s="20" t="s">
        <v>2</v>
      </c>
      <c r="F362" s="6"/>
      <c r="G362" s="5" t="s">
        <v>2</v>
      </c>
      <c r="H362" s="28"/>
      <c r="I362" s="4"/>
      <c r="J362" s="60"/>
      <c r="K362" s="4"/>
      <c r="L362" s="4"/>
      <c r="M362" s="4"/>
      <c r="N362" s="4"/>
      <c r="O362" s="4"/>
      <c r="P362" s="24"/>
      <c r="Q362" s="4"/>
      <c r="R362" s="4"/>
      <c r="S362" s="4"/>
      <c r="T362" s="4"/>
      <c r="U362" s="24"/>
      <c r="V362" s="4"/>
      <c r="W362" s="2"/>
      <c r="X362" s="2"/>
      <c r="Y362" s="5" t="s">
        <v>2</v>
      </c>
      <c r="Z362" s="5" t="s">
        <v>2</v>
      </c>
      <c r="AA362" s="5" t="s">
        <v>2</v>
      </c>
      <c r="AB362" s="21" t="s">
        <v>2</v>
      </c>
      <c r="AC362" s="26" t="s">
        <v>2</v>
      </c>
    </row>
    <row r="363" spans="2:29" x14ac:dyDescent="0.3">
      <c r="B363" s="7" t="s">
        <v>2744</v>
      </c>
      <c r="C363" s="1" t="s">
        <v>2744</v>
      </c>
      <c r="D363" s="8" t="s">
        <v>2744</v>
      </c>
      <c r="E363" s="1" t="s">
        <v>2744</v>
      </c>
      <c r="F363" s="1" t="s">
        <v>2744</v>
      </c>
      <c r="G363" s="1" t="s">
        <v>2744</v>
      </c>
      <c r="H363" s="1" t="s">
        <v>2744</v>
      </c>
      <c r="I363" s="1" t="s">
        <v>2744</v>
      </c>
      <c r="J363" s="1" t="s">
        <v>2744</v>
      </c>
      <c r="K363" s="1" t="s">
        <v>2744</v>
      </c>
      <c r="L363" s="1" t="s">
        <v>2744</v>
      </c>
      <c r="M363" s="1" t="s">
        <v>2744</v>
      </c>
      <c r="N363" s="1" t="s">
        <v>2744</v>
      </c>
      <c r="O363" s="1" t="s">
        <v>2744</v>
      </c>
      <c r="P363" s="1" t="s">
        <v>2744</v>
      </c>
      <c r="Q363" s="1" t="s">
        <v>2744</v>
      </c>
      <c r="R363" s="1" t="s">
        <v>2744</v>
      </c>
      <c r="S363" s="1" t="s">
        <v>2744</v>
      </c>
      <c r="T363" s="1" t="s">
        <v>2744</v>
      </c>
      <c r="U363" s="1" t="s">
        <v>2744</v>
      </c>
      <c r="V363" s="1" t="s">
        <v>2744</v>
      </c>
      <c r="W363" s="1" t="s">
        <v>2744</v>
      </c>
      <c r="X363" s="1" t="s">
        <v>2744</v>
      </c>
      <c r="Y363" s="1" t="s">
        <v>2744</v>
      </c>
      <c r="Z363" s="1" t="s">
        <v>2744</v>
      </c>
      <c r="AA363" s="1" t="s">
        <v>2744</v>
      </c>
      <c r="AB363" s="1" t="s">
        <v>2744</v>
      </c>
      <c r="AC363" s="1" t="s">
        <v>2744</v>
      </c>
    </row>
    <row r="364" spans="2:29" ht="56" x14ac:dyDescent="0.3">
      <c r="B364" s="19" t="s">
        <v>701</v>
      </c>
      <c r="C364" s="17" t="s">
        <v>1092</v>
      </c>
      <c r="D364" s="16"/>
      <c r="E364" s="2"/>
      <c r="F364" s="2"/>
      <c r="G364" s="2"/>
      <c r="H364" s="2"/>
      <c r="I364" s="3">
        <f>SUM(GMIC_22A_SCDPT4!SCDPT4_432BEGINNG_7:GMIC_22A_SCDPT4!SCDPT4_432ENDINGG_7)</f>
        <v>0</v>
      </c>
      <c r="J364" s="2"/>
      <c r="K364" s="3">
        <f>SUM(GMIC_22A_SCDPT4!SCDPT4_432BEGINNG_9:GMIC_22A_SCDPT4!SCDPT4_432ENDINGG_9)</f>
        <v>0</v>
      </c>
      <c r="L364" s="3">
        <f>SUM(GMIC_22A_SCDPT4!SCDPT4_432BEGINNG_10:GMIC_22A_SCDPT4!SCDPT4_432ENDINGG_10)</f>
        <v>0</v>
      </c>
      <c r="M364" s="3">
        <f>SUM(GMIC_22A_SCDPT4!SCDPT4_432BEGINNG_11:GMIC_22A_SCDPT4!SCDPT4_432ENDINGG_11)</f>
        <v>0</v>
      </c>
      <c r="N364" s="3">
        <f>SUM(GMIC_22A_SCDPT4!SCDPT4_432BEGINNG_12:GMIC_22A_SCDPT4!SCDPT4_432ENDINGG_12)</f>
        <v>0</v>
      </c>
      <c r="O364" s="3">
        <f>SUM(GMIC_22A_SCDPT4!SCDPT4_432BEGINNG_13:GMIC_22A_SCDPT4!SCDPT4_432ENDINGG_13)</f>
        <v>0</v>
      </c>
      <c r="P364" s="3">
        <f>SUM(GMIC_22A_SCDPT4!SCDPT4_432BEGINNG_14:GMIC_22A_SCDPT4!SCDPT4_432ENDINGG_14)</f>
        <v>0</v>
      </c>
      <c r="Q364" s="3">
        <f>SUM(GMIC_22A_SCDPT4!SCDPT4_432BEGINNG_15:GMIC_22A_SCDPT4!SCDPT4_432ENDINGG_15)</f>
        <v>0</v>
      </c>
      <c r="R364" s="3">
        <f>SUM(GMIC_22A_SCDPT4!SCDPT4_432BEGINNG_16:GMIC_22A_SCDPT4!SCDPT4_432ENDINGG_16)</f>
        <v>0</v>
      </c>
      <c r="S364" s="3">
        <f>SUM(GMIC_22A_SCDPT4!SCDPT4_432BEGINNG_17:GMIC_22A_SCDPT4!SCDPT4_432ENDINGG_17)</f>
        <v>0</v>
      </c>
      <c r="T364" s="3">
        <f>SUM(GMIC_22A_SCDPT4!SCDPT4_432BEGINNG_18:GMIC_22A_SCDPT4!SCDPT4_432ENDINGG_18)</f>
        <v>0</v>
      </c>
      <c r="U364" s="3">
        <f>SUM(GMIC_22A_SCDPT4!SCDPT4_432BEGINNG_19:GMIC_22A_SCDPT4!SCDPT4_432ENDINGG_19)</f>
        <v>0</v>
      </c>
      <c r="V364" s="3">
        <f>SUM(GMIC_22A_SCDPT4!SCDPT4_432BEGINNG_20:GMIC_22A_SCDPT4!SCDPT4_432ENDINGG_20)</f>
        <v>0</v>
      </c>
      <c r="W364" s="2"/>
      <c r="X364" s="2"/>
      <c r="Y364" s="2"/>
      <c r="Z364" s="2"/>
      <c r="AA364" s="2"/>
      <c r="AB364" s="2"/>
      <c r="AC364" s="2"/>
    </row>
    <row r="365" spans="2:29" ht="28" x14ac:dyDescent="0.3">
      <c r="B365" s="19" t="s">
        <v>725</v>
      </c>
      <c r="C365" s="17" t="s">
        <v>3398</v>
      </c>
      <c r="D365" s="16"/>
      <c r="E365" s="2"/>
      <c r="F365" s="2"/>
      <c r="G365" s="2"/>
      <c r="H365" s="2"/>
      <c r="I365" s="3">
        <f>GMIC_22A_SCDPT4!SCDPT4_4019999999_7+GMIC_22A_SCDPT4!SCDPT4_4029999999_7+GMIC_22A_SCDPT4!SCDPT4_4319999999_7+GMIC_22A_SCDPT4!SCDPT4_4329999999_7</f>
        <v>0</v>
      </c>
      <c r="J365" s="2"/>
      <c r="K365" s="3">
        <f>GMIC_22A_SCDPT4!SCDPT4_4019999999_9+GMIC_22A_SCDPT4!SCDPT4_4029999999_9+GMIC_22A_SCDPT4!SCDPT4_4319999999_9+GMIC_22A_SCDPT4!SCDPT4_4329999999_9</f>
        <v>0</v>
      </c>
      <c r="L365" s="3">
        <f>GMIC_22A_SCDPT4!SCDPT4_4019999999_10+GMIC_22A_SCDPT4!SCDPT4_4029999999_10+GMIC_22A_SCDPT4!SCDPT4_4319999999_10+GMIC_22A_SCDPT4!SCDPT4_4329999999_10</f>
        <v>0</v>
      </c>
      <c r="M365" s="3">
        <f>GMIC_22A_SCDPT4!SCDPT4_4019999999_11+GMIC_22A_SCDPT4!SCDPT4_4029999999_11+GMIC_22A_SCDPT4!SCDPT4_4319999999_11+GMIC_22A_SCDPT4!SCDPT4_4329999999_11</f>
        <v>0</v>
      </c>
      <c r="N365" s="3">
        <f>GMIC_22A_SCDPT4!SCDPT4_4019999999_12+GMIC_22A_SCDPT4!SCDPT4_4029999999_12+GMIC_22A_SCDPT4!SCDPT4_4319999999_12+GMIC_22A_SCDPT4!SCDPT4_4329999999_12</f>
        <v>0</v>
      </c>
      <c r="O365" s="3">
        <f>GMIC_22A_SCDPT4!SCDPT4_4019999999_13+GMIC_22A_SCDPT4!SCDPT4_4029999999_13+GMIC_22A_SCDPT4!SCDPT4_4319999999_13+GMIC_22A_SCDPT4!SCDPT4_4329999999_13</f>
        <v>0</v>
      </c>
      <c r="P365" s="3">
        <f>GMIC_22A_SCDPT4!SCDPT4_4019999999_14+GMIC_22A_SCDPT4!SCDPT4_4029999999_14+GMIC_22A_SCDPT4!SCDPT4_4319999999_14+GMIC_22A_SCDPT4!SCDPT4_4329999999_14</f>
        <v>0</v>
      </c>
      <c r="Q365" s="3">
        <f>GMIC_22A_SCDPT4!SCDPT4_4019999999_15+GMIC_22A_SCDPT4!SCDPT4_4029999999_15+GMIC_22A_SCDPT4!SCDPT4_4319999999_15+GMIC_22A_SCDPT4!SCDPT4_4329999999_15</f>
        <v>0</v>
      </c>
      <c r="R365" s="3">
        <f>GMIC_22A_SCDPT4!SCDPT4_4019999999_16+GMIC_22A_SCDPT4!SCDPT4_4029999999_16+GMIC_22A_SCDPT4!SCDPT4_4319999999_16+GMIC_22A_SCDPT4!SCDPT4_4329999999_16</f>
        <v>0</v>
      </c>
      <c r="S365" s="3">
        <f>GMIC_22A_SCDPT4!SCDPT4_4019999999_17+GMIC_22A_SCDPT4!SCDPT4_4029999999_17+GMIC_22A_SCDPT4!SCDPT4_4319999999_17+GMIC_22A_SCDPT4!SCDPT4_4329999999_17</f>
        <v>0</v>
      </c>
      <c r="T365" s="3">
        <f>GMIC_22A_SCDPT4!SCDPT4_4019999999_18+GMIC_22A_SCDPT4!SCDPT4_4029999999_18+GMIC_22A_SCDPT4!SCDPT4_4319999999_18+GMIC_22A_SCDPT4!SCDPT4_4329999999_18</f>
        <v>0</v>
      </c>
      <c r="U365" s="3">
        <f>GMIC_22A_SCDPT4!SCDPT4_4019999999_19+GMIC_22A_SCDPT4!SCDPT4_4029999999_19+GMIC_22A_SCDPT4!SCDPT4_4319999999_19+GMIC_22A_SCDPT4!SCDPT4_4329999999_19</f>
        <v>0</v>
      </c>
      <c r="V365" s="3">
        <f>GMIC_22A_SCDPT4!SCDPT4_4019999999_20+GMIC_22A_SCDPT4!SCDPT4_4029999999_20+GMIC_22A_SCDPT4!SCDPT4_4319999999_20+GMIC_22A_SCDPT4!SCDPT4_4329999999_20</f>
        <v>0</v>
      </c>
      <c r="W365" s="2"/>
      <c r="X365" s="2"/>
      <c r="Y365" s="2"/>
      <c r="Z365" s="2"/>
      <c r="AA365" s="2"/>
      <c r="AB365" s="2"/>
      <c r="AC365" s="2"/>
    </row>
    <row r="366" spans="2:29" ht="28" x14ac:dyDescent="0.3">
      <c r="B366" s="19" t="s">
        <v>1859</v>
      </c>
      <c r="C366" s="17" t="s">
        <v>4486</v>
      </c>
      <c r="D366" s="16"/>
      <c r="E366" s="2"/>
      <c r="F366" s="2"/>
      <c r="G366" s="2"/>
      <c r="H366" s="2"/>
      <c r="I366" s="36"/>
      <c r="J366" s="2"/>
      <c r="K366" s="36"/>
      <c r="L366" s="4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2"/>
      <c r="X366" s="2"/>
      <c r="Y366" s="2"/>
      <c r="Z366" s="2"/>
      <c r="AA366" s="2"/>
      <c r="AB366" s="2"/>
      <c r="AC366" s="2"/>
    </row>
    <row r="367" spans="2:29" x14ac:dyDescent="0.3">
      <c r="B367" s="19" t="s">
        <v>2970</v>
      </c>
      <c r="C367" s="17" t="s">
        <v>3843</v>
      </c>
      <c r="D367" s="16"/>
      <c r="E367" s="2"/>
      <c r="F367" s="2"/>
      <c r="G367" s="2"/>
      <c r="H367" s="2"/>
      <c r="I367" s="3">
        <f>GMIC_22A_SCDPT4!SCDPT4_4509999997_7+GMIC_22A_SCDPT4!SCDPT4_4509999998_7</f>
        <v>0</v>
      </c>
      <c r="J367" s="2"/>
      <c r="K367" s="3">
        <f>GMIC_22A_SCDPT4!SCDPT4_4509999997_9+GMIC_22A_SCDPT4!SCDPT4_4509999998_9</f>
        <v>0</v>
      </c>
      <c r="L367" s="3">
        <f>GMIC_22A_SCDPT4!SCDPT4_4509999997_10+GMIC_22A_SCDPT4!SCDPT4_4509999998_10</f>
        <v>0</v>
      </c>
      <c r="M367" s="3">
        <f>GMIC_22A_SCDPT4!SCDPT4_4509999997_11+GMIC_22A_SCDPT4!SCDPT4_4509999998_11</f>
        <v>0</v>
      </c>
      <c r="N367" s="3">
        <f>GMIC_22A_SCDPT4!SCDPT4_4509999997_12+GMIC_22A_SCDPT4!SCDPT4_4509999998_12</f>
        <v>0</v>
      </c>
      <c r="O367" s="3">
        <f>GMIC_22A_SCDPT4!SCDPT4_4509999997_13+GMIC_22A_SCDPT4!SCDPT4_4509999998_13</f>
        <v>0</v>
      </c>
      <c r="P367" s="3">
        <f>GMIC_22A_SCDPT4!SCDPT4_4509999997_14+GMIC_22A_SCDPT4!SCDPT4_4509999998_14</f>
        <v>0</v>
      </c>
      <c r="Q367" s="3">
        <f>GMIC_22A_SCDPT4!SCDPT4_4509999997_15+GMIC_22A_SCDPT4!SCDPT4_4509999998_15</f>
        <v>0</v>
      </c>
      <c r="R367" s="3">
        <f>GMIC_22A_SCDPT4!SCDPT4_4509999997_16+GMIC_22A_SCDPT4!SCDPT4_4509999998_16</f>
        <v>0</v>
      </c>
      <c r="S367" s="3">
        <f>GMIC_22A_SCDPT4!SCDPT4_4509999997_17+GMIC_22A_SCDPT4!SCDPT4_4509999998_17</f>
        <v>0</v>
      </c>
      <c r="T367" s="3">
        <f>GMIC_22A_SCDPT4!SCDPT4_4509999997_18+GMIC_22A_SCDPT4!SCDPT4_4509999998_18</f>
        <v>0</v>
      </c>
      <c r="U367" s="3">
        <f>GMIC_22A_SCDPT4!SCDPT4_4509999997_19+GMIC_22A_SCDPT4!SCDPT4_4509999998_19</f>
        <v>0</v>
      </c>
      <c r="V367" s="3">
        <f>GMIC_22A_SCDPT4!SCDPT4_4509999997_20+GMIC_22A_SCDPT4!SCDPT4_4509999998_20</f>
        <v>0</v>
      </c>
      <c r="W367" s="2"/>
      <c r="X367" s="2"/>
      <c r="Y367" s="2"/>
      <c r="Z367" s="2"/>
      <c r="AA367" s="2"/>
      <c r="AB367" s="2"/>
      <c r="AC367" s="2"/>
    </row>
    <row r="368" spans="2:29" x14ac:dyDescent="0.3">
      <c r="B368" s="7" t="s">
        <v>2744</v>
      </c>
      <c r="C368" s="1" t="s">
        <v>2744</v>
      </c>
      <c r="D368" s="8" t="s">
        <v>2744</v>
      </c>
      <c r="E368" s="1" t="s">
        <v>2744</v>
      </c>
      <c r="F368" s="1" t="s">
        <v>2744</v>
      </c>
      <c r="G368" s="1" t="s">
        <v>2744</v>
      </c>
      <c r="H368" s="1" t="s">
        <v>2744</v>
      </c>
      <c r="I368" s="1" t="s">
        <v>2744</v>
      </c>
      <c r="J368" s="1" t="s">
        <v>2744</v>
      </c>
      <c r="K368" s="1" t="s">
        <v>2744</v>
      </c>
      <c r="L368" s="1" t="s">
        <v>2744</v>
      </c>
      <c r="M368" s="1" t="s">
        <v>2744</v>
      </c>
      <c r="N368" s="1" t="s">
        <v>2744</v>
      </c>
      <c r="O368" s="1" t="s">
        <v>2744</v>
      </c>
      <c r="P368" s="1" t="s">
        <v>2744</v>
      </c>
      <c r="Q368" s="1" t="s">
        <v>2744</v>
      </c>
      <c r="R368" s="1" t="s">
        <v>2744</v>
      </c>
      <c r="S368" s="1" t="s">
        <v>2744</v>
      </c>
      <c r="T368" s="1" t="s">
        <v>2744</v>
      </c>
      <c r="U368" s="1" t="s">
        <v>2744</v>
      </c>
      <c r="V368" s="1" t="s">
        <v>2744</v>
      </c>
      <c r="W368" s="1" t="s">
        <v>2744</v>
      </c>
      <c r="X368" s="1" t="s">
        <v>2744</v>
      </c>
      <c r="Y368" s="1" t="s">
        <v>2744</v>
      </c>
      <c r="Z368" s="1" t="s">
        <v>2744</v>
      </c>
      <c r="AA368" s="1" t="s">
        <v>2744</v>
      </c>
      <c r="AB368" s="1" t="s">
        <v>2744</v>
      </c>
      <c r="AC368" s="1" t="s">
        <v>2744</v>
      </c>
    </row>
    <row r="369" spans="2:29" x14ac:dyDescent="0.3">
      <c r="B369" s="18" t="s">
        <v>3844</v>
      </c>
      <c r="C369" s="25" t="s">
        <v>3897</v>
      </c>
      <c r="D369" s="15" t="s">
        <v>2</v>
      </c>
      <c r="E369" s="20" t="s">
        <v>2</v>
      </c>
      <c r="F369" s="6"/>
      <c r="G369" s="5" t="s">
        <v>2</v>
      </c>
      <c r="H369" s="28"/>
      <c r="I369" s="4"/>
      <c r="J369" s="2"/>
      <c r="K369" s="4"/>
      <c r="L369" s="4"/>
      <c r="M369" s="4"/>
      <c r="N369" s="4"/>
      <c r="O369" s="4"/>
      <c r="P369" s="24"/>
      <c r="Q369" s="4"/>
      <c r="R369" s="4"/>
      <c r="S369" s="4"/>
      <c r="T369" s="4"/>
      <c r="U369" s="24"/>
      <c r="V369" s="4"/>
      <c r="W369" s="2"/>
      <c r="X369" s="2"/>
      <c r="Y369" s="5" t="s">
        <v>2</v>
      </c>
      <c r="Z369" s="5" t="s">
        <v>2</v>
      </c>
      <c r="AA369" s="5" t="s">
        <v>2</v>
      </c>
      <c r="AB369" s="21" t="s">
        <v>2</v>
      </c>
      <c r="AC369" s="26" t="s">
        <v>2</v>
      </c>
    </row>
    <row r="370" spans="2:29" x14ac:dyDescent="0.3">
      <c r="B370" s="7" t="s">
        <v>2744</v>
      </c>
      <c r="C370" s="1" t="s">
        <v>2744</v>
      </c>
      <c r="D370" s="8" t="s">
        <v>2744</v>
      </c>
      <c r="E370" s="1" t="s">
        <v>2744</v>
      </c>
      <c r="F370" s="1" t="s">
        <v>2744</v>
      </c>
      <c r="G370" s="1" t="s">
        <v>2744</v>
      </c>
      <c r="H370" s="1" t="s">
        <v>2744</v>
      </c>
      <c r="I370" s="1" t="s">
        <v>2744</v>
      </c>
      <c r="J370" s="1" t="s">
        <v>2744</v>
      </c>
      <c r="K370" s="1" t="s">
        <v>2744</v>
      </c>
      <c r="L370" s="1" t="s">
        <v>2744</v>
      </c>
      <c r="M370" s="1" t="s">
        <v>2744</v>
      </c>
      <c r="N370" s="1" t="s">
        <v>2744</v>
      </c>
      <c r="O370" s="1" t="s">
        <v>2744</v>
      </c>
      <c r="P370" s="1" t="s">
        <v>2744</v>
      </c>
      <c r="Q370" s="1" t="s">
        <v>2744</v>
      </c>
      <c r="R370" s="1" t="s">
        <v>2744</v>
      </c>
      <c r="S370" s="1" t="s">
        <v>2744</v>
      </c>
      <c r="T370" s="1" t="s">
        <v>2744</v>
      </c>
      <c r="U370" s="1" t="s">
        <v>2744</v>
      </c>
      <c r="V370" s="1" t="s">
        <v>2744</v>
      </c>
      <c r="W370" s="1" t="s">
        <v>2744</v>
      </c>
      <c r="X370" s="1" t="s">
        <v>2744</v>
      </c>
      <c r="Y370" s="1" t="s">
        <v>2744</v>
      </c>
      <c r="Z370" s="1" t="s">
        <v>2744</v>
      </c>
      <c r="AA370" s="1" t="s">
        <v>2744</v>
      </c>
      <c r="AB370" s="1" t="s">
        <v>2744</v>
      </c>
      <c r="AC370" s="1" t="s">
        <v>2744</v>
      </c>
    </row>
    <row r="371" spans="2:29" ht="42" x14ac:dyDescent="0.3">
      <c r="B371" s="19" t="s">
        <v>452</v>
      </c>
      <c r="C371" s="17" t="s">
        <v>462</v>
      </c>
      <c r="D371" s="16"/>
      <c r="E371" s="2"/>
      <c r="F371" s="2"/>
      <c r="G371" s="2"/>
      <c r="H371" s="2"/>
      <c r="I371" s="3">
        <f>SUM(GMIC_22A_SCDPT4!SCDPT4_501BEGINNG_7:GMIC_22A_SCDPT4!SCDPT4_501ENDINGG_7)</f>
        <v>0</v>
      </c>
      <c r="J371" s="2"/>
      <c r="K371" s="3">
        <f>SUM(GMIC_22A_SCDPT4!SCDPT4_501BEGINNG_9:GMIC_22A_SCDPT4!SCDPT4_501ENDINGG_9)</f>
        <v>0</v>
      </c>
      <c r="L371" s="3">
        <f>SUM(GMIC_22A_SCDPT4!SCDPT4_501BEGINNG_10:GMIC_22A_SCDPT4!SCDPT4_501ENDINGG_10)</f>
        <v>0</v>
      </c>
      <c r="M371" s="3">
        <f>SUM(GMIC_22A_SCDPT4!SCDPT4_501BEGINNG_11:GMIC_22A_SCDPT4!SCDPT4_501ENDINGG_11)</f>
        <v>0</v>
      </c>
      <c r="N371" s="3">
        <f>SUM(GMIC_22A_SCDPT4!SCDPT4_501BEGINNG_12:GMIC_22A_SCDPT4!SCDPT4_501ENDINGG_12)</f>
        <v>0</v>
      </c>
      <c r="O371" s="3">
        <f>SUM(GMIC_22A_SCDPT4!SCDPT4_501BEGINNG_13:GMIC_22A_SCDPT4!SCDPT4_501ENDINGG_13)</f>
        <v>0</v>
      </c>
      <c r="P371" s="3">
        <f>SUM(GMIC_22A_SCDPT4!SCDPT4_501BEGINNG_14:GMIC_22A_SCDPT4!SCDPT4_501ENDINGG_14)</f>
        <v>0</v>
      </c>
      <c r="Q371" s="3">
        <f>SUM(GMIC_22A_SCDPT4!SCDPT4_501BEGINNG_15:GMIC_22A_SCDPT4!SCDPT4_501ENDINGG_15)</f>
        <v>0</v>
      </c>
      <c r="R371" s="3">
        <f>SUM(GMIC_22A_SCDPT4!SCDPT4_501BEGINNG_16:GMIC_22A_SCDPT4!SCDPT4_501ENDINGG_16)</f>
        <v>0</v>
      </c>
      <c r="S371" s="3">
        <f>SUM(GMIC_22A_SCDPT4!SCDPT4_501BEGINNG_17:GMIC_22A_SCDPT4!SCDPT4_501ENDINGG_17)</f>
        <v>0</v>
      </c>
      <c r="T371" s="3">
        <f>SUM(GMIC_22A_SCDPT4!SCDPT4_501BEGINNG_18:GMIC_22A_SCDPT4!SCDPT4_501ENDINGG_18)</f>
        <v>0</v>
      </c>
      <c r="U371" s="3">
        <f>SUM(GMIC_22A_SCDPT4!SCDPT4_501BEGINNG_19:GMIC_22A_SCDPT4!SCDPT4_501ENDINGG_19)</f>
        <v>0</v>
      </c>
      <c r="V371" s="3">
        <f>SUM(GMIC_22A_SCDPT4!SCDPT4_501BEGINNG_20:GMIC_22A_SCDPT4!SCDPT4_501ENDINGG_20)</f>
        <v>0</v>
      </c>
      <c r="W371" s="2"/>
      <c r="X371" s="2"/>
      <c r="Y371" s="2"/>
      <c r="Z371" s="2"/>
      <c r="AA371" s="2"/>
      <c r="AB371" s="2"/>
      <c r="AC371" s="2"/>
    </row>
    <row r="372" spans="2:29" x14ac:dyDescent="0.3">
      <c r="B372" s="7" t="s">
        <v>2744</v>
      </c>
      <c r="C372" s="1" t="s">
        <v>2744</v>
      </c>
      <c r="D372" s="8" t="s">
        <v>2744</v>
      </c>
      <c r="E372" s="1" t="s">
        <v>2744</v>
      </c>
      <c r="F372" s="1" t="s">
        <v>2744</v>
      </c>
      <c r="G372" s="1" t="s">
        <v>2744</v>
      </c>
      <c r="H372" s="1" t="s">
        <v>2744</v>
      </c>
      <c r="I372" s="1" t="s">
        <v>2744</v>
      </c>
      <c r="J372" s="1" t="s">
        <v>2744</v>
      </c>
      <c r="K372" s="1" t="s">
        <v>2744</v>
      </c>
      <c r="L372" s="1" t="s">
        <v>2744</v>
      </c>
      <c r="M372" s="1" t="s">
        <v>2744</v>
      </c>
      <c r="N372" s="1" t="s">
        <v>2744</v>
      </c>
      <c r="O372" s="1" t="s">
        <v>2744</v>
      </c>
      <c r="P372" s="1" t="s">
        <v>2744</v>
      </c>
      <c r="Q372" s="1" t="s">
        <v>2744</v>
      </c>
      <c r="R372" s="1" t="s">
        <v>2744</v>
      </c>
      <c r="S372" s="1" t="s">
        <v>2744</v>
      </c>
      <c r="T372" s="1" t="s">
        <v>2744</v>
      </c>
      <c r="U372" s="1" t="s">
        <v>2744</v>
      </c>
      <c r="V372" s="1" t="s">
        <v>2744</v>
      </c>
      <c r="W372" s="1" t="s">
        <v>2744</v>
      </c>
      <c r="X372" s="1" t="s">
        <v>2744</v>
      </c>
      <c r="Y372" s="1" t="s">
        <v>2744</v>
      </c>
      <c r="Z372" s="1" t="s">
        <v>2744</v>
      </c>
      <c r="AA372" s="1" t="s">
        <v>2744</v>
      </c>
      <c r="AB372" s="1" t="s">
        <v>2744</v>
      </c>
      <c r="AC372" s="1" t="s">
        <v>2744</v>
      </c>
    </row>
    <row r="373" spans="2:29" x14ac:dyDescent="0.3">
      <c r="B373" s="18" t="s">
        <v>2971</v>
      </c>
      <c r="C373" s="25" t="s">
        <v>3897</v>
      </c>
      <c r="D373" s="15" t="s">
        <v>2</v>
      </c>
      <c r="E373" s="20" t="s">
        <v>2</v>
      </c>
      <c r="F373" s="6"/>
      <c r="G373" s="5" t="s">
        <v>2</v>
      </c>
      <c r="H373" s="28"/>
      <c r="I373" s="4"/>
      <c r="J373" s="2"/>
      <c r="K373" s="4"/>
      <c r="L373" s="4"/>
      <c r="M373" s="4"/>
      <c r="N373" s="4"/>
      <c r="O373" s="4"/>
      <c r="P373" s="24"/>
      <c r="Q373" s="4"/>
      <c r="R373" s="4"/>
      <c r="S373" s="4"/>
      <c r="T373" s="4"/>
      <c r="U373" s="24"/>
      <c r="V373" s="4"/>
      <c r="W373" s="2"/>
      <c r="X373" s="2"/>
      <c r="Y373" s="5" t="s">
        <v>2</v>
      </c>
      <c r="Z373" s="5" t="s">
        <v>2</v>
      </c>
      <c r="AA373" s="5" t="s">
        <v>2</v>
      </c>
      <c r="AB373" s="21" t="s">
        <v>2</v>
      </c>
      <c r="AC373" s="26" t="s">
        <v>2</v>
      </c>
    </row>
    <row r="374" spans="2:29" x14ac:dyDescent="0.3">
      <c r="B374" s="7" t="s">
        <v>2744</v>
      </c>
      <c r="C374" s="1" t="s">
        <v>2744</v>
      </c>
      <c r="D374" s="8" t="s">
        <v>2744</v>
      </c>
      <c r="E374" s="1" t="s">
        <v>2744</v>
      </c>
      <c r="F374" s="1" t="s">
        <v>2744</v>
      </c>
      <c r="G374" s="1" t="s">
        <v>2744</v>
      </c>
      <c r="H374" s="1" t="s">
        <v>2744</v>
      </c>
      <c r="I374" s="1" t="s">
        <v>2744</v>
      </c>
      <c r="J374" s="1" t="s">
        <v>2744</v>
      </c>
      <c r="K374" s="1" t="s">
        <v>2744</v>
      </c>
      <c r="L374" s="1" t="s">
        <v>2744</v>
      </c>
      <c r="M374" s="1" t="s">
        <v>2744</v>
      </c>
      <c r="N374" s="1" t="s">
        <v>2744</v>
      </c>
      <c r="O374" s="1" t="s">
        <v>2744</v>
      </c>
      <c r="P374" s="1" t="s">
        <v>2744</v>
      </c>
      <c r="Q374" s="1" t="s">
        <v>2744</v>
      </c>
      <c r="R374" s="1" t="s">
        <v>2744</v>
      </c>
      <c r="S374" s="1" t="s">
        <v>2744</v>
      </c>
      <c r="T374" s="1" t="s">
        <v>2744</v>
      </c>
      <c r="U374" s="1" t="s">
        <v>2744</v>
      </c>
      <c r="V374" s="1" t="s">
        <v>2744</v>
      </c>
      <c r="W374" s="1" t="s">
        <v>2744</v>
      </c>
      <c r="X374" s="1" t="s">
        <v>2744</v>
      </c>
      <c r="Y374" s="1" t="s">
        <v>2744</v>
      </c>
      <c r="Z374" s="1" t="s">
        <v>2744</v>
      </c>
      <c r="AA374" s="1" t="s">
        <v>2744</v>
      </c>
      <c r="AB374" s="1" t="s">
        <v>2744</v>
      </c>
      <c r="AC374" s="1" t="s">
        <v>2744</v>
      </c>
    </row>
    <row r="375" spans="2:29" ht="42" x14ac:dyDescent="0.3">
      <c r="B375" s="19" t="s">
        <v>4117</v>
      </c>
      <c r="C375" s="17" t="s">
        <v>3000</v>
      </c>
      <c r="D375" s="16"/>
      <c r="E375" s="2"/>
      <c r="F375" s="2"/>
      <c r="G375" s="2"/>
      <c r="H375" s="2"/>
      <c r="I375" s="3">
        <f>SUM(GMIC_22A_SCDPT4!SCDPT4_502BEGINNG_7:GMIC_22A_SCDPT4!SCDPT4_502ENDINGG_7)</f>
        <v>0</v>
      </c>
      <c r="J375" s="2"/>
      <c r="K375" s="3">
        <f>SUM(GMIC_22A_SCDPT4!SCDPT4_502BEGINNG_9:GMIC_22A_SCDPT4!SCDPT4_502ENDINGG_9)</f>
        <v>0</v>
      </c>
      <c r="L375" s="3">
        <f>SUM(GMIC_22A_SCDPT4!SCDPT4_502BEGINNG_10:GMIC_22A_SCDPT4!SCDPT4_502ENDINGG_10)</f>
        <v>0</v>
      </c>
      <c r="M375" s="3">
        <f>SUM(GMIC_22A_SCDPT4!SCDPT4_502BEGINNG_11:GMIC_22A_SCDPT4!SCDPT4_502ENDINGG_11)</f>
        <v>0</v>
      </c>
      <c r="N375" s="3">
        <f>SUM(GMIC_22A_SCDPT4!SCDPT4_502BEGINNG_12:GMIC_22A_SCDPT4!SCDPT4_502ENDINGG_12)</f>
        <v>0</v>
      </c>
      <c r="O375" s="3">
        <f>SUM(GMIC_22A_SCDPT4!SCDPT4_502BEGINNG_13:GMIC_22A_SCDPT4!SCDPT4_502ENDINGG_13)</f>
        <v>0</v>
      </c>
      <c r="P375" s="3">
        <f>SUM(GMIC_22A_SCDPT4!SCDPT4_502BEGINNG_14:GMIC_22A_SCDPT4!SCDPT4_502ENDINGG_14)</f>
        <v>0</v>
      </c>
      <c r="Q375" s="3">
        <f>SUM(GMIC_22A_SCDPT4!SCDPT4_502BEGINNG_15:GMIC_22A_SCDPT4!SCDPT4_502ENDINGG_15)</f>
        <v>0</v>
      </c>
      <c r="R375" s="3">
        <f>SUM(GMIC_22A_SCDPT4!SCDPT4_502BEGINNG_16:GMIC_22A_SCDPT4!SCDPT4_502ENDINGG_16)</f>
        <v>0</v>
      </c>
      <c r="S375" s="3">
        <f>SUM(GMIC_22A_SCDPT4!SCDPT4_502BEGINNG_17:GMIC_22A_SCDPT4!SCDPT4_502ENDINGG_17)</f>
        <v>0</v>
      </c>
      <c r="T375" s="3">
        <f>SUM(GMIC_22A_SCDPT4!SCDPT4_502BEGINNG_18:GMIC_22A_SCDPT4!SCDPT4_502ENDINGG_18)</f>
        <v>0</v>
      </c>
      <c r="U375" s="3">
        <f>SUM(GMIC_22A_SCDPT4!SCDPT4_502BEGINNG_19:GMIC_22A_SCDPT4!SCDPT4_502ENDINGG_19)</f>
        <v>0</v>
      </c>
      <c r="V375" s="3">
        <f>SUM(GMIC_22A_SCDPT4!SCDPT4_502BEGINNG_20:GMIC_22A_SCDPT4!SCDPT4_502ENDINGG_20)</f>
        <v>0</v>
      </c>
      <c r="W375" s="2"/>
      <c r="X375" s="2"/>
      <c r="Y375" s="2"/>
      <c r="Z375" s="2"/>
      <c r="AA375" s="2"/>
      <c r="AB375" s="2"/>
      <c r="AC375" s="2"/>
    </row>
    <row r="376" spans="2:29" x14ac:dyDescent="0.3">
      <c r="B376" s="7" t="s">
        <v>2744</v>
      </c>
      <c r="C376" s="1" t="s">
        <v>2744</v>
      </c>
      <c r="D376" s="8" t="s">
        <v>2744</v>
      </c>
      <c r="E376" s="1" t="s">
        <v>2744</v>
      </c>
      <c r="F376" s="1" t="s">
        <v>2744</v>
      </c>
      <c r="G376" s="1" t="s">
        <v>2744</v>
      </c>
      <c r="H376" s="1" t="s">
        <v>2744</v>
      </c>
      <c r="I376" s="1" t="s">
        <v>2744</v>
      </c>
      <c r="J376" s="1" t="s">
        <v>2744</v>
      </c>
      <c r="K376" s="1" t="s">
        <v>2744</v>
      </c>
      <c r="L376" s="1" t="s">
        <v>2744</v>
      </c>
      <c r="M376" s="1" t="s">
        <v>2744</v>
      </c>
      <c r="N376" s="1" t="s">
        <v>2744</v>
      </c>
      <c r="O376" s="1" t="s">
        <v>2744</v>
      </c>
      <c r="P376" s="1" t="s">
        <v>2744</v>
      </c>
      <c r="Q376" s="1" t="s">
        <v>2744</v>
      </c>
      <c r="R376" s="1" t="s">
        <v>2744</v>
      </c>
      <c r="S376" s="1" t="s">
        <v>2744</v>
      </c>
      <c r="T376" s="1" t="s">
        <v>2744</v>
      </c>
      <c r="U376" s="1" t="s">
        <v>2744</v>
      </c>
      <c r="V376" s="1" t="s">
        <v>2744</v>
      </c>
      <c r="W376" s="1" t="s">
        <v>2744</v>
      </c>
      <c r="X376" s="1" t="s">
        <v>2744</v>
      </c>
      <c r="Y376" s="1" t="s">
        <v>2744</v>
      </c>
      <c r="Z376" s="1" t="s">
        <v>2744</v>
      </c>
      <c r="AA376" s="1" t="s">
        <v>2744</v>
      </c>
      <c r="AB376" s="1" t="s">
        <v>2744</v>
      </c>
      <c r="AC376" s="1" t="s">
        <v>2744</v>
      </c>
    </row>
    <row r="377" spans="2:29" x14ac:dyDescent="0.3">
      <c r="B377" s="18" t="s">
        <v>198</v>
      </c>
      <c r="C377" s="25" t="s">
        <v>3897</v>
      </c>
      <c r="D377" s="15" t="s">
        <v>2</v>
      </c>
      <c r="E377" s="20" t="s">
        <v>2</v>
      </c>
      <c r="F377" s="6"/>
      <c r="G377" s="5" t="s">
        <v>2</v>
      </c>
      <c r="H377" s="28"/>
      <c r="I377" s="4"/>
      <c r="J377" s="2"/>
      <c r="K377" s="4"/>
      <c r="L377" s="4"/>
      <c r="M377" s="4"/>
      <c r="N377" s="4"/>
      <c r="O377" s="4"/>
      <c r="P377" s="24"/>
      <c r="Q377" s="4"/>
      <c r="R377" s="4"/>
      <c r="S377" s="4"/>
      <c r="T377" s="4"/>
      <c r="U377" s="24"/>
      <c r="V377" s="4"/>
      <c r="W377" s="2"/>
      <c r="X377" s="2"/>
      <c r="Y377" s="5" t="s">
        <v>2</v>
      </c>
      <c r="Z377" s="5" t="s">
        <v>2</v>
      </c>
      <c r="AA377" s="5" t="s">
        <v>2</v>
      </c>
      <c r="AB377" s="21" t="s">
        <v>2</v>
      </c>
      <c r="AC377" s="26" t="s">
        <v>2</v>
      </c>
    </row>
    <row r="378" spans="2:29" x14ac:dyDescent="0.3">
      <c r="B378" s="7" t="s">
        <v>2744</v>
      </c>
      <c r="C378" s="1" t="s">
        <v>2744</v>
      </c>
      <c r="D378" s="8" t="s">
        <v>2744</v>
      </c>
      <c r="E378" s="1" t="s">
        <v>2744</v>
      </c>
      <c r="F378" s="1" t="s">
        <v>2744</v>
      </c>
      <c r="G378" s="1" t="s">
        <v>2744</v>
      </c>
      <c r="H378" s="1" t="s">
        <v>2744</v>
      </c>
      <c r="I378" s="1" t="s">
        <v>2744</v>
      </c>
      <c r="J378" s="1" t="s">
        <v>2744</v>
      </c>
      <c r="K378" s="1" t="s">
        <v>2744</v>
      </c>
      <c r="L378" s="1" t="s">
        <v>2744</v>
      </c>
      <c r="M378" s="1" t="s">
        <v>2744</v>
      </c>
      <c r="N378" s="1" t="s">
        <v>2744</v>
      </c>
      <c r="O378" s="1" t="s">
        <v>2744</v>
      </c>
      <c r="P378" s="1" t="s">
        <v>2744</v>
      </c>
      <c r="Q378" s="1" t="s">
        <v>2744</v>
      </c>
      <c r="R378" s="1" t="s">
        <v>2744</v>
      </c>
      <c r="S378" s="1" t="s">
        <v>2744</v>
      </c>
      <c r="T378" s="1" t="s">
        <v>2744</v>
      </c>
      <c r="U378" s="1" t="s">
        <v>2744</v>
      </c>
      <c r="V378" s="1" t="s">
        <v>2744</v>
      </c>
      <c r="W378" s="1" t="s">
        <v>2744</v>
      </c>
      <c r="X378" s="1" t="s">
        <v>2744</v>
      </c>
      <c r="Y378" s="1" t="s">
        <v>2744</v>
      </c>
      <c r="Z378" s="1" t="s">
        <v>2744</v>
      </c>
      <c r="AA378" s="1" t="s">
        <v>2744</v>
      </c>
      <c r="AB378" s="1" t="s">
        <v>2744</v>
      </c>
      <c r="AC378" s="1" t="s">
        <v>2744</v>
      </c>
    </row>
    <row r="379" spans="2:29" ht="42" x14ac:dyDescent="0.3">
      <c r="B379" s="19" t="s">
        <v>1344</v>
      </c>
      <c r="C379" s="17" t="s">
        <v>702</v>
      </c>
      <c r="D379" s="16"/>
      <c r="E379" s="2"/>
      <c r="F379" s="2"/>
      <c r="G379" s="2"/>
      <c r="H379" s="2"/>
      <c r="I379" s="3">
        <f>SUM(GMIC_22A_SCDPT4!SCDPT4_531BEGINNG_7:GMIC_22A_SCDPT4!SCDPT4_531ENDINGG_7)</f>
        <v>0</v>
      </c>
      <c r="J379" s="2"/>
      <c r="K379" s="3">
        <f>SUM(GMIC_22A_SCDPT4!SCDPT4_531BEGINNG_9:GMIC_22A_SCDPT4!SCDPT4_531ENDINGG_9)</f>
        <v>0</v>
      </c>
      <c r="L379" s="3">
        <f>SUM(GMIC_22A_SCDPT4!SCDPT4_531BEGINNG_10:GMIC_22A_SCDPT4!SCDPT4_531ENDINGG_10)</f>
        <v>0</v>
      </c>
      <c r="M379" s="3">
        <f>SUM(GMIC_22A_SCDPT4!SCDPT4_531BEGINNG_11:GMIC_22A_SCDPT4!SCDPT4_531ENDINGG_11)</f>
        <v>0</v>
      </c>
      <c r="N379" s="3">
        <f>SUM(GMIC_22A_SCDPT4!SCDPT4_531BEGINNG_12:GMIC_22A_SCDPT4!SCDPT4_531ENDINGG_12)</f>
        <v>0</v>
      </c>
      <c r="O379" s="3">
        <f>SUM(GMIC_22A_SCDPT4!SCDPT4_531BEGINNG_13:GMIC_22A_SCDPT4!SCDPT4_531ENDINGG_13)</f>
        <v>0</v>
      </c>
      <c r="P379" s="3">
        <f>SUM(GMIC_22A_SCDPT4!SCDPT4_531BEGINNG_14:GMIC_22A_SCDPT4!SCDPT4_531ENDINGG_14)</f>
        <v>0</v>
      </c>
      <c r="Q379" s="3">
        <f>SUM(GMIC_22A_SCDPT4!SCDPT4_531BEGINNG_15:GMIC_22A_SCDPT4!SCDPT4_531ENDINGG_15)</f>
        <v>0</v>
      </c>
      <c r="R379" s="3">
        <f>SUM(GMIC_22A_SCDPT4!SCDPT4_531BEGINNG_16:GMIC_22A_SCDPT4!SCDPT4_531ENDINGG_16)</f>
        <v>0</v>
      </c>
      <c r="S379" s="3">
        <f>SUM(GMIC_22A_SCDPT4!SCDPT4_531BEGINNG_17:GMIC_22A_SCDPT4!SCDPT4_531ENDINGG_17)</f>
        <v>0</v>
      </c>
      <c r="T379" s="3">
        <f>SUM(GMIC_22A_SCDPT4!SCDPT4_531BEGINNG_18:GMIC_22A_SCDPT4!SCDPT4_531ENDINGG_18)</f>
        <v>0</v>
      </c>
      <c r="U379" s="3">
        <f>SUM(GMIC_22A_SCDPT4!SCDPT4_531BEGINNG_19:GMIC_22A_SCDPT4!SCDPT4_531ENDINGG_19)</f>
        <v>0</v>
      </c>
      <c r="V379" s="3">
        <f>SUM(GMIC_22A_SCDPT4!SCDPT4_531BEGINNG_20:GMIC_22A_SCDPT4!SCDPT4_531ENDINGG_20)</f>
        <v>0</v>
      </c>
      <c r="W379" s="2"/>
      <c r="X379" s="2"/>
      <c r="Y379" s="2"/>
      <c r="Z379" s="2"/>
      <c r="AA379" s="2"/>
      <c r="AB379" s="2"/>
      <c r="AC379" s="2"/>
    </row>
    <row r="380" spans="2:29" x14ac:dyDescent="0.3">
      <c r="B380" s="7" t="s">
        <v>2744</v>
      </c>
      <c r="C380" s="1" t="s">
        <v>2744</v>
      </c>
      <c r="D380" s="8" t="s">
        <v>2744</v>
      </c>
      <c r="E380" s="1" t="s">
        <v>2744</v>
      </c>
      <c r="F380" s="1" t="s">
        <v>2744</v>
      </c>
      <c r="G380" s="1" t="s">
        <v>2744</v>
      </c>
      <c r="H380" s="1" t="s">
        <v>2744</v>
      </c>
      <c r="I380" s="1" t="s">
        <v>2744</v>
      </c>
      <c r="J380" s="1" t="s">
        <v>2744</v>
      </c>
      <c r="K380" s="1" t="s">
        <v>2744</v>
      </c>
      <c r="L380" s="1" t="s">
        <v>2744</v>
      </c>
      <c r="M380" s="1" t="s">
        <v>2744</v>
      </c>
      <c r="N380" s="1" t="s">
        <v>2744</v>
      </c>
      <c r="O380" s="1" t="s">
        <v>2744</v>
      </c>
      <c r="P380" s="1" t="s">
        <v>2744</v>
      </c>
      <c r="Q380" s="1" t="s">
        <v>2744</v>
      </c>
      <c r="R380" s="1" t="s">
        <v>2744</v>
      </c>
      <c r="S380" s="1" t="s">
        <v>2744</v>
      </c>
      <c r="T380" s="1" t="s">
        <v>2744</v>
      </c>
      <c r="U380" s="1" t="s">
        <v>2744</v>
      </c>
      <c r="V380" s="1" t="s">
        <v>2744</v>
      </c>
      <c r="W380" s="1" t="s">
        <v>2744</v>
      </c>
      <c r="X380" s="1" t="s">
        <v>2744</v>
      </c>
      <c r="Y380" s="1" t="s">
        <v>2744</v>
      </c>
      <c r="Z380" s="1" t="s">
        <v>2744</v>
      </c>
      <c r="AA380" s="1" t="s">
        <v>2744</v>
      </c>
      <c r="AB380" s="1" t="s">
        <v>2744</v>
      </c>
      <c r="AC380" s="1" t="s">
        <v>2744</v>
      </c>
    </row>
    <row r="381" spans="2:29" x14ac:dyDescent="0.3">
      <c r="B381" s="18" t="s">
        <v>3845</v>
      </c>
      <c r="C381" s="25" t="s">
        <v>3897</v>
      </c>
      <c r="D381" s="15" t="s">
        <v>2</v>
      </c>
      <c r="E381" s="20" t="s">
        <v>2</v>
      </c>
      <c r="F381" s="6"/>
      <c r="G381" s="5" t="s">
        <v>2</v>
      </c>
      <c r="H381" s="28"/>
      <c r="I381" s="4"/>
      <c r="J381" s="2"/>
      <c r="K381" s="4"/>
      <c r="L381" s="4"/>
      <c r="M381" s="4"/>
      <c r="N381" s="4"/>
      <c r="O381" s="4"/>
      <c r="P381" s="24"/>
      <c r="Q381" s="4"/>
      <c r="R381" s="4"/>
      <c r="S381" s="4"/>
      <c r="T381" s="4"/>
      <c r="U381" s="24"/>
      <c r="V381" s="4"/>
      <c r="W381" s="2"/>
      <c r="X381" s="2"/>
      <c r="Y381" s="5" t="s">
        <v>2</v>
      </c>
      <c r="Z381" s="5" t="s">
        <v>2</v>
      </c>
      <c r="AA381" s="5" t="s">
        <v>2</v>
      </c>
      <c r="AB381" s="21" t="s">
        <v>2</v>
      </c>
      <c r="AC381" s="26" t="s">
        <v>2</v>
      </c>
    </row>
    <row r="382" spans="2:29" x14ac:dyDescent="0.3">
      <c r="B382" s="7" t="s">
        <v>2744</v>
      </c>
      <c r="C382" s="1" t="s">
        <v>2744</v>
      </c>
      <c r="D382" s="8" t="s">
        <v>2744</v>
      </c>
      <c r="E382" s="1" t="s">
        <v>2744</v>
      </c>
      <c r="F382" s="1" t="s">
        <v>2744</v>
      </c>
      <c r="G382" s="1" t="s">
        <v>2744</v>
      </c>
      <c r="H382" s="1" t="s">
        <v>2744</v>
      </c>
      <c r="I382" s="1" t="s">
        <v>2744</v>
      </c>
      <c r="J382" s="1" t="s">
        <v>2744</v>
      </c>
      <c r="K382" s="1" t="s">
        <v>2744</v>
      </c>
      <c r="L382" s="1" t="s">
        <v>2744</v>
      </c>
      <c r="M382" s="1" t="s">
        <v>2744</v>
      </c>
      <c r="N382" s="1" t="s">
        <v>2744</v>
      </c>
      <c r="O382" s="1" t="s">
        <v>2744</v>
      </c>
      <c r="P382" s="1" t="s">
        <v>2744</v>
      </c>
      <c r="Q382" s="1" t="s">
        <v>2744</v>
      </c>
      <c r="R382" s="1" t="s">
        <v>2744</v>
      </c>
      <c r="S382" s="1" t="s">
        <v>2744</v>
      </c>
      <c r="T382" s="1" t="s">
        <v>2744</v>
      </c>
      <c r="U382" s="1" t="s">
        <v>2744</v>
      </c>
      <c r="V382" s="1" t="s">
        <v>2744</v>
      </c>
      <c r="W382" s="1" t="s">
        <v>2744</v>
      </c>
      <c r="X382" s="1" t="s">
        <v>2744</v>
      </c>
      <c r="Y382" s="1" t="s">
        <v>2744</v>
      </c>
      <c r="Z382" s="1" t="s">
        <v>2744</v>
      </c>
      <c r="AA382" s="1" t="s">
        <v>2744</v>
      </c>
      <c r="AB382" s="1" t="s">
        <v>2744</v>
      </c>
      <c r="AC382" s="1" t="s">
        <v>2744</v>
      </c>
    </row>
    <row r="383" spans="2:29" ht="42" x14ac:dyDescent="0.3">
      <c r="B383" s="19" t="s">
        <v>454</v>
      </c>
      <c r="C383" s="17" t="s">
        <v>3846</v>
      </c>
      <c r="D383" s="16"/>
      <c r="E383" s="2"/>
      <c r="F383" s="2"/>
      <c r="G383" s="2"/>
      <c r="H383" s="2"/>
      <c r="I383" s="3">
        <f>SUM(GMIC_22A_SCDPT4!SCDPT4_532BEGINNG_7:GMIC_22A_SCDPT4!SCDPT4_532ENDINGG_7)</f>
        <v>0</v>
      </c>
      <c r="J383" s="2"/>
      <c r="K383" s="3">
        <f>SUM(GMIC_22A_SCDPT4!SCDPT4_532BEGINNG_9:GMIC_22A_SCDPT4!SCDPT4_532ENDINGG_9)</f>
        <v>0</v>
      </c>
      <c r="L383" s="3">
        <f>SUM(GMIC_22A_SCDPT4!SCDPT4_532BEGINNG_10:GMIC_22A_SCDPT4!SCDPT4_532ENDINGG_10)</f>
        <v>0</v>
      </c>
      <c r="M383" s="3">
        <f>SUM(GMIC_22A_SCDPT4!SCDPT4_532BEGINNG_11:GMIC_22A_SCDPT4!SCDPT4_532ENDINGG_11)</f>
        <v>0</v>
      </c>
      <c r="N383" s="3">
        <f>SUM(GMIC_22A_SCDPT4!SCDPT4_532BEGINNG_12:GMIC_22A_SCDPT4!SCDPT4_532ENDINGG_12)</f>
        <v>0</v>
      </c>
      <c r="O383" s="3">
        <f>SUM(GMIC_22A_SCDPT4!SCDPT4_532BEGINNG_13:GMIC_22A_SCDPT4!SCDPT4_532ENDINGG_13)</f>
        <v>0</v>
      </c>
      <c r="P383" s="3">
        <f>SUM(GMIC_22A_SCDPT4!SCDPT4_532BEGINNG_14:GMIC_22A_SCDPT4!SCDPT4_532ENDINGG_14)</f>
        <v>0</v>
      </c>
      <c r="Q383" s="3">
        <f>SUM(GMIC_22A_SCDPT4!SCDPT4_532BEGINNG_15:GMIC_22A_SCDPT4!SCDPT4_532ENDINGG_15)</f>
        <v>0</v>
      </c>
      <c r="R383" s="3">
        <f>SUM(GMIC_22A_SCDPT4!SCDPT4_532BEGINNG_16:GMIC_22A_SCDPT4!SCDPT4_532ENDINGG_16)</f>
        <v>0</v>
      </c>
      <c r="S383" s="3">
        <f>SUM(GMIC_22A_SCDPT4!SCDPT4_532BEGINNG_17:GMIC_22A_SCDPT4!SCDPT4_532ENDINGG_17)</f>
        <v>0</v>
      </c>
      <c r="T383" s="3">
        <f>SUM(GMIC_22A_SCDPT4!SCDPT4_532BEGINNG_18:GMIC_22A_SCDPT4!SCDPT4_532ENDINGG_18)</f>
        <v>0</v>
      </c>
      <c r="U383" s="3">
        <f>SUM(GMIC_22A_SCDPT4!SCDPT4_532BEGINNG_19:GMIC_22A_SCDPT4!SCDPT4_532ENDINGG_19)</f>
        <v>0</v>
      </c>
      <c r="V383" s="3">
        <f>SUM(GMIC_22A_SCDPT4!SCDPT4_532BEGINNG_20:GMIC_22A_SCDPT4!SCDPT4_532ENDINGG_20)</f>
        <v>0</v>
      </c>
      <c r="W383" s="2"/>
      <c r="X383" s="2"/>
      <c r="Y383" s="2"/>
      <c r="Z383" s="2"/>
      <c r="AA383" s="2"/>
      <c r="AB383" s="2"/>
      <c r="AC383" s="2"/>
    </row>
    <row r="384" spans="2:29" x14ac:dyDescent="0.3">
      <c r="B384" s="7" t="s">
        <v>2744</v>
      </c>
      <c r="C384" s="1" t="s">
        <v>2744</v>
      </c>
      <c r="D384" s="8" t="s">
        <v>2744</v>
      </c>
      <c r="E384" s="1" t="s">
        <v>2744</v>
      </c>
      <c r="F384" s="1" t="s">
        <v>2744</v>
      </c>
      <c r="G384" s="1" t="s">
        <v>2744</v>
      </c>
      <c r="H384" s="1" t="s">
        <v>2744</v>
      </c>
      <c r="I384" s="1" t="s">
        <v>2744</v>
      </c>
      <c r="J384" s="1" t="s">
        <v>2744</v>
      </c>
      <c r="K384" s="1" t="s">
        <v>2744</v>
      </c>
      <c r="L384" s="1" t="s">
        <v>2744</v>
      </c>
      <c r="M384" s="1" t="s">
        <v>2744</v>
      </c>
      <c r="N384" s="1" t="s">
        <v>2744</v>
      </c>
      <c r="O384" s="1" t="s">
        <v>2744</v>
      </c>
      <c r="P384" s="1" t="s">
        <v>2744</v>
      </c>
      <c r="Q384" s="1" t="s">
        <v>2744</v>
      </c>
      <c r="R384" s="1" t="s">
        <v>2744</v>
      </c>
      <c r="S384" s="1" t="s">
        <v>2744</v>
      </c>
      <c r="T384" s="1" t="s">
        <v>2744</v>
      </c>
      <c r="U384" s="1" t="s">
        <v>2744</v>
      </c>
      <c r="V384" s="1" t="s">
        <v>2744</v>
      </c>
      <c r="W384" s="1" t="s">
        <v>2744</v>
      </c>
      <c r="X384" s="1" t="s">
        <v>2744</v>
      </c>
      <c r="Y384" s="1" t="s">
        <v>2744</v>
      </c>
      <c r="Z384" s="1" t="s">
        <v>2744</v>
      </c>
      <c r="AA384" s="1" t="s">
        <v>2744</v>
      </c>
      <c r="AB384" s="1" t="s">
        <v>2744</v>
      </c>
      <c r="AC384" s="1" t="s">
        <v>2744</v>
      </c>
    </row>
    <row r="385" spans="2:29" x14ac:dyDescent="0.3">
      <c r="B385" s="18" t="s">
        <v>703</v>
      </c>
      <c r="C385" s="25" t="s">
        <v>3897</v>
      </c>
      <c r="D385" s="15" t="s">
        <v>2</v>
      </c>
      <c r="E385" s="20" t="s">
        <v>2</v>
      </c>
      <c r="F385" s="6"/>
      <c r="G385" s="5" t="s">
        <v>2</v>
      </c>
      <c r="H385" s="28"/>
      <c r="I385" s="4"/>
      <c r="J385" s="2"/>
      <c r="K385" s="4"/>
      <c r="L385" s="4"/>
      <c r="M385" s="4"/>
      <c r="N385" s="4"/>
      <c r="O385" s="4"/>
      <c r="P385" s="24"/>
      <c r="Q385" s="4"/>
      <c r="R385" s="4"/>
      <c r="S385" s="4"/>
      <c r="T385" s="4"/>
      <c r="U385" s="24"/>
      <c r="V385" s="4"/>
      <c r="W385" s="2"/>
      <c r="X385" s="2"/>
      <c r="Y385" s="5" t="s">
        <v>2</v>
      </c>
      <c r="Z385" s="5" t="s">
        <v>2</v>
      </c>
      <c r="AA385" s="5" t="s">
        <v>2</v>
      </c>
      <c r="AB385" s="21" t="s">
        <v>2</v>
      </c>
      <c r="AC385" s="26" t="s">
        <v>2</v>
      </c>
    </row>
    <row r="386" spans="2:29" x14ac:dyDescent="0.3">
      <c r="B386" s="7" t="s">
        <v>2744</v>
      </c>
      <c r="C386" s="1" t="s">
        <v>2744</v>
      </c>
      <c r="D386" s="8" t="s">
        <v>2744</v>
      </c>
      <c r="E386" s="1" t="s">
        <v>2744</v>
      </c>
      <c r="F386" s="1" t="s">
        <v>2744</v>
      </c>
      <c r="G386" s="1" t="s">
        <v>2744</v>
      </c>
      <c r="H386" s="1" t="s">
        <v>2744</v>
      </c>
      <c r="I386" s="1" t="s">
        <v>2744</v>
      </c>
      <c r="J386" s="1" t="s">
        <v>2744</v>
      </c>
      <c r="K386" s="1" t="s">
        <v>2744</v>
      </c>
      <c r="L386" s="1" t="s">
        <v>2744</v>
      </c>
      <c r="M386" s="1" t="s">
        <v>2744</v>
      </c>
      <c r="N386" s="1" t="s">
        <v>2744</v>
      </c>
      <c r="O386" s="1" t="s">
        <v>2744</v>
      </c>
      <c r="P386" s="1" t="s">
        <v>2744</v>
      </c>
      <c r="Q386" s="1" t="s">
        <v>2744</v>
      </c>
      <c r="R386" s="1" t="s">
        <v>2744</v>
      </c>
      <c r="S386" s="1" t="s">
        <v>2744</v>
      </c>
      <c r="T386" s="1" t="s">
        <v>2744</v>
      </c>
      <c r="U386" s="1" t="s">
        <v>2744</v>
      </c>
      <c r="V386" s="1" t="s">
        <v>2744</v>
      </c>
      <c r="W386" s="1" t="s">
        <v>2744</v>
      </c>
      <c r="X386" s="1" t="s">
        <v>2744</v>
      </c>
      <c r="Y386" s="1" t="s">
        <v>2744</v>
      </c>
      <c r="Z386" s="1" t="s">
        <v>2744</v>
      </c>
      <c r="AA386" s="1" t="s">
        <v>2744</v>
      </c>
      <c r="AB386" s="1" t="s">
        <v>2744</v>
      </c>
      <c r="AC386" s="1" t="s">
        <v>2744</v>
      </c>
    </row>
    <row r="387" spans="2:29" ht="56" x14ac:dyDescent="0.3">
      <c r="B387" s="19" t="s">
        <v>1841</v>
      </c>
      <c r="C387" s="17" t="s">
        <v>704</v>
      </c>
      <c r="D387" s="16"/>
      <c r="E387" s="2"/>
      <c r="F387" s="2"/>
      <c r="G387" s="2"/>
      <c r="H387" s="2"/>
      <c r="I387" s="3">
        <f>SUM(GMIC_22A_SCDPT4!SCDPT4_551BEGINNG_7:GMIC_22A_SCDPT4!SCDPT4_551ENDINGG_7)</f>
        <v>0</v>
      </c>
      <c r="J387" s="2"/>
      <c r="K387" s="3">
        <f>SUM(GMIC_22A_SCDPT4!SCDPT4_551BEGINNG_9:GMIC_22A_SCDPT4!SCDPT4_551ENDINGG_9)</f>
        <v>0</v>
      </c>
      <c r="L387" s="3">
        <f>SUM(GMIC_22A_SCDPT4!SCDPT4_551BEGINNG_10:GMIC_22A_SCDPT4!SCDPT4_551ENDINGG_10)</f>
        <v>0</v>
      </c>
      <c r="M387" s="3">
        <f>SUM(GMIC_22A_SCDPT4!SCDPT4_551BEGINNG_11:GMIC_22A_SCDPT4!SCDPT4_551ENDINGG_11)</f>
        <v>0</v>
      </c>
      <c r="N387" s="3">
        <f>SUM(GMIC_22A_SCDPT4!SCDPT4_551BEGINNG_12:GMIC_22A_SCDPT4!SCDPT4_551ENDINGG_12)</f>
        <v>0</v>
      </c>
      <c r="O387" s="3">
        <f>SUM(GMIC_22A_SCDPT4!SCDPT4_551BEGINNG_13:GMIC_22A_SCDPT4!SCDPT4_551ENDINGG_13)</f>
        <v>0</v>
      </c>
      <c r="P387" s="3">
        <f>SUM(GMIC_22A_SCDPT4!SCDPT4_551BEGINNG_14:GMIC_22A_SCDPT4!SCDPT4_551ENDINGG_14)</f>
        <v>0</v>
      </c>
      <c r="Q387" s="3">
        <f>SUM(GMIC_22A_SCDPT4!SCDPT4_551BEGINNG_15:GMIC_22A_SCDPT4!SCDPT4_551ENDINGG_15)</f>
        <v>0</v>
      </c>
      <c r="R387" s="3">
        <f>SUM(GMIC_22A_SCDPT4!SCDPT4_551BEGINNG_16:GMIC_22A_SCDPT4!SCDPT4_551ENDINGG_16)</f>
        <v>0</v>
      </c>
      <c r="S387" s="3">
        <f>SUM(GMIC_22A_SCDPT4!SCDPT4_551BEGINNG_17:GMIC_22A_SCDPT4!SCDPT4_551ENDINGG_17)</f>
        <v>0</v>
      </c>
      <c r="T387" s="3">
        <f>SUM(GMIC_22A_SCDPT4!SCDPT4_551BEGINNG_18:GMIC_22A_SCDPT4!SCDPT4_551ENDINGG_18)</f>
        <v>0</v>
      </c>
      <c r="U387" s="3">
        <f>SUM(GMIC_22A_SCDPT4!SCDPT4_551BEGINNG_19:GMIC_22A_SCDPT4!SCDPT4_551ENDINGG_19)</f>
        <v>0</v>
      </c>
      <c r="V387" s="3">
        <f>SUM(GMIC_22A_SCDPT4!SCDPT4_551BEGINNG_20:GMIC_22A_SCDPT4!SCDPT4_551ENDINGG_20)</f>
        <v>0</v>
      </c>
      <c r="W387" s="2"/>
      <c r="X387" s="2"/>
      <c r="Y387" s="2"/>
      <c r="Z387" s="2"/>
      <c r="AA387" s="2"/>
      <c r="AB387" s="2"/>
      <c r="AC387" s="2"/>
    </row>
    <row r="388" spans="2:29" x14ac:dyDescent="0.3">
      <c r="B388" s="7" t="s">
        <v>2744</v>
      </c>
      <c r="C388" s="1" t="s">
        <v>2744</v>
      </c>
      <c r="D388" s="8" t="s">
        <v>2744</v>
      </c>
      <c r="E388" s="1" t="s">
        <v>2744</v>
      </c>
      <c r="F388" s="1" t="s">
        <v>2744</v>
      </c>
      <c r="G388" s="1" t="s">
        <v>2744</v>
      </c>
      <c r="H388" s="1" t="s">
        <v>2744</v>
      </c>
      <c r="I388" s="1" t="s">
        <v>2744</v>
      </c>
      <c r="J388" s="1" t="s">
        <v>2744</v>
      </c>
      <c r="K388" s="1" t="s">
        <v>2744</v>
      </c>
      <c r="L388" s="1" t="s">
        <v>2744</v>
      </c>
      <c r="M388" s="1" t="s">
        <v>2744</v>
      </c>
      <c r="N388" s="1" t="s">
        <v>2744</v>
      </c>
      <c r="O388" s="1" t="s">
        <v>2744</v>
      </c>
      <c r="P388" s="1" t="s">
        <v>2744</v>
      </c>
      <c r="Q388" s="1" t="s">
        <v>2744</v>
      </c>
      <c r="R388" s="1" t="s">
        <v>2744</v>
      </c>
      <c r="S388" s="1" t="s">
        <v>2744</v>
      </c>
      <c r="T388" s="1" t="s">
        <v>2744</v>
      </c>
      <c r="U388" s="1" t="s">
        <v>2744</v>
      </c>
      <c r="V388" s="1" t="s">
        <v>2744</v>
      </c>
      <c r="W388" s="1" t="s">
        <v>2744</v>
      </c>
      <c r="X388" s="1" t="s">
        <v>2744</v>
      </c>
      <c r="Y388" s="1" t="s">
        <v>2744</v>
      </c>
      <c r="Z388" s="1" t="s">
        <v>2744</v>
      </c>
      <c r="AA388" s="1" t="s">
        <v>2744</v>
      </c>
      <c r="AB388" s="1" t="s">
        <v>2744</v>
      </c>
      <c r="AC388" s="1" t="s">
        <v>2744</v>
      </c>
    </row>
    <row r="389" spans="2:29" x14ac:dyDescent="0.3">
      <c r="B389" s="18" t="s">
        <v>4452</v>
      </c>
      <c r="C389" s="25" t="s">
        <v>3897</v>
      </c>
      <c r="D389" s="15" t="s">
        <v>2</v>
      </c>
      <c r="E389" s="20" t="s">
        <v>2</v>
      </c>
      <c r="F389" s="6"/>
      <c r="G389" s="5" t="s">
        <v>2</v>
      </c>
      <c r="H389" s="28"/>
      <c r="I389" s="4"/>
      <c r="J389" s="2"/>
      <c r="K389" s="4"/>
      <c r="L389" s="4"/>
      <c r="M389" s="4"/>
      <c r="N389" s="4"/>
      <c r="O389" s="4"/>
      <c r="P389" s="24"/>
      <c r="Q389" s="4"/>
      <c r="R389" s="4"/>
      <c r="S389" s="4"/>
      <c r="T389" s="4"/>
      <c r="U389" s="24"/>
      <c r="V389" s="4"/>
      <c r="W389" s="2"/>
      <c r="X389" s="2"/>
      <c r="Y389" s="5" t="s">
        <v>2</v>
      </c>
      <c r="Z389" s="5" t="s">
        <v>2</v>
      </c>
      <c r="AA389" s="5" t="s">
        <v>2</v>
      </c>
      <c r="AB389" s="21" t="s">
        <v>2</v>
      </c>
      <c r="AC389" s="26" t="s">
        <v>2</v>
      </c>
    </row>
    <row r="390" spans="2:29" x14ac:dyDescent="0.3">
      <c r="B390" s="7" t="s">
        <v>2744</v>
      </c>
      <c r="C390" s="1" t="s">
        <v>2744</v>
      </c>
      <c r="D390" s="8" t="s">
        <v>2744</v>
      </c>
      <c r="E390" s="1" t="s">
        <v>2744</v>
      </c>
      <c r="F390" s="1" t="s">
        <v>2744</v>
      </c>
      <c r="G390" s="1" t="s">
        <v>2744</v>
      </c>
      <c r="H390" s="1" t="s">
        <v>2744</v>
      </c>
      <c r="I390" s="1" t="s">
        <v>2744</v>
      </c>
      <c r="J390" s="1" t="s">
        <v>2744</v>
      </c>
      <c r="K390" s="1" t="s">
        <v>2744</v>
      </c>
      <c r="L390" s="1" t="s">
        <v>2744</v>
      </c>
      <c r="M390" s="1" t="s">
        <v>2744</v>
      </c>
      <c r="N390" s="1" t="s">
        <v>2744</v>
      </c>
      <c r="O390" s="1" t="s">
        <v>2744</v>
      </c>
      <c r="P390" s="1" t="s">
        <v>2744</v>
      </c>
      <c r="Q390" s="1" t="s">
        <v>2744</v>
      </c>
      <c r="R390" s="1" t="s">
        <v>2744</v>
      </c>
      <c r="S390" s="1" t="s">
        <v>2744</v>
      </c>
      <c r="T390" s="1" t="s">
        <v>2744</v>
      </c>
      <c r="U390" s="1" t="s">
        <v>2744</v>
      </c>
      <c r="V390" s="1" t="s">
        <v>2744</v>
      </c>
      <c r="W390" s="1" t="s">
        <v>2744</v>
      </c>
      <c r="X390" s="1" t="s">
        <v>2744</v>
      </c>
      <c r="Y390" s="1" t="s">
        <v>2744</v>
      </c>
      <c r="Z390" s="1" t="s">
        <v>2744</v>
      </c>
      <c r="AA390" s="1" t="s">
        <v>2744</v>
      </c>
      <c r="AB390" s="1" t="s">
        <v>2744</v>
      </c>
      <c r="AC390" s="1" t="s">
        <v>2744</v>
      </c>
    </row>
    <row r="391" spans="2:29" ht="56" x14ac:dyDescent="0.3">
      <c r="B391" s="19" t="s">
        <v>1053</v>
      </c>
      <c r="C391" s="17" t="s">
        <v>1054</v>
      </c>
      <c r="D391" s="16"/>
      <c r="E391" s="2"/>
      <c r="F391" s="2"/>
      <c r="G391" s="2"/>
      <c r="H391" s="2"/>
      <c r="I391" s="3">
        <f>SUM(GMIC_22A_SCDPT4!SCDPT4_552BEGINNG_7:GMIC_22A_SCDPT4!SCDPT4_552ENDINGG_7)</f>
        <v>0</v>
      </c>
      <c r="J391" s="2"/>
      <c r="K391" s="3">
        <f>SUM(GMIC_22A_SCDPT4!SCDPT4_552BEGINNG_9:GMIC_22A_SCDPT4!SCDPT4_552ENDINGG_9)</f>
        <v>0</v>
      </c>
      <c r="L391" s="3">
        <f>SUM(GMIC_22A_SCDPT4!SCDPT4_552BEGINNG_10:GMIC_22A_SCDPT4!SCDPT4_552ENDINGG_10)</f>
        <v>0</v>
      </c>
      <c r="M391" s="3">
        <f>SUM(GMIC_22A_SCDPT4!SCDPT4_552BEGINNG_11:GMIC_22A_SCDPT4!SCDPT4_552ENDINGG_11)</f>
        <v>0</v>
      </c>
      <c r="N391" s="3">
        <f>SUM(GMIC_22A_SCDPT4!SCDPT4_552BEGINNG_12:GMIC_22A_SCDPT4!SCDPT4_552ENDINGG_12)</f>
        <v>0</v>
      </c>
      <c r="O391" s="3">
        <f>SUM(GMIC_22A_SCDPT4!SCDPT4_552BEGINNG_13:GMIC_22A_SCDPT4!SCDPT4_552ENDINGG_13)</f>
        <v>0</v>
      </c>
      <c r="P391" s="3">
        <f>SUM(GMIC_22A_SCDPT4!SCDPT4_552BEGINNG_14:GMIC_22A_SCDPT4!SCDPT4_552ENDINGG_14)</f>
        <v>0</v>
      </c>
      <c r="Q391" s="3">
        <f>SUM(GMIC_22A_SCDPT4!SCDPT4_552BEGINNG_15:GMIC_22A_SCDPT4!SCDPT4_552ENDINGG_15)</f>
        <v>0</v>
      </c>
      <c r="R391" s="3">
        <f>SUM(GMIC_22A_SCDPT4!SCDPT4_552BEGINNG_16:GMIC_22A_SCDPT4!SCDPT4_552ENDINGG_16)</f>
        <v>0</v>
      </c>
      <c r="S391" s="3">
        <f>SUM(GMIC_22A_SCDPT4!SCDPT4_552BEGINNG_17:GMIC_22A_SCDPT4!SCDPT4_552ENDINGG_17)</f>
        <v>0</v>
      </c>
      <c r="T391" s="3">
        <f>SUM(GMIC_22A_SCDPT4!SCDPT4_552BEGINNG_18:GMIC_22A_SCDPT4!SCDPT4_552ENDINGG_18)</f>
        <v>0</v>
      </c>
      <c r="U391" s="3">
        <f>SUM(GMIC_22A_SCDPT4!SCDPT4_552BEGINNG_19:GMIC_22A_SCDPT4!SCDPT4_552ENDINGG_19)</f>
        <v>0</v>
      </c>
      <c r="V391" s="3">
        <f>SUM(GMIC_22A_SCDPT4!SCDPT4_552BEGINNG_20:GMIC_22A_SCDPT4!SCDPT4_552ENDINGG_20)</f>
        <v>0</v>
      </c>
      <c r="W391" s="2"/>
      <c r="X391" s="2"/>
      <c r="Y391" s="2"/>
      <c r="Z391" s="2"/>
      <c r="AA391" s="2"/>
      <c r="AB391" s="2"/>
      <c r="AC391" s="2"/>
    </row>
    <row r="392" spans="2:29" x14ac:dyDescent="0.3">
      <c r="B392" s="7" t="s">
        <v>2744</v>
      </c>
      <c r="C392" s="1" t="s">
        <v>2744</v>
      </c>
      <c r="D392" s="8" t="s">
        <v>2744</v>
      </c>
      <c r="E392" s="1" t="s">
        <v>2744</v>
      </c>
      <c r="F392" s="1" t="s">
        <v>2744</v>
      </c>
      <c r="G392" s="1" t="s">
        <v>2744</v>
      </c>
      <c r="H392" s="1" t="s">
        <v>2744</v>
      </c>
      <c r="I392" s="1" t="s">
        <v>2744</v>
      </c>
      <c r="J392" s="1" t="s">
        <v>2744</v>
      </c>
      <c r="K392" s="1" t="s">
        <v>2744</v>
      </c>
      <c r="L392" s="1" t="s">
        <v>2744</v>
      </c>
      <c r="M392" s="1" t="s">
        <v>2744</v>
      </c>
      <c r="N392" s="1" t="s">
        <v>2744</v>
      </c>
      <c r="O392" s="1" t="s">
        <v>2744</v>
      </c>
      <c r="P392" s="1" t="s">
        <v>2744</v>
      </c>
      <c r="Q392" s="1" t="s">
        <v>2744</v>
      </c>
      <c r="R392" s="1" t="s">
        <v>2744</v>
      </c>
      <c r="S392" s="1" t="s">
        <v>2744</v>
      </c>
      <c r="T392" s="1" t="s">
        <v>2744</v>
      </c>
      <c r="U392" s="1" t="s">
        <v>2744</v>
      </c>
      <c r="V392" s="1" t="s">
        <v>2744</v>
      </c>
      <c r="W392" s="1" t="s">
        <v>2744</v>
      </c>
      <c r="X392" s="1" t="s">
        <v>2744</v>
      </c>
      <c r="Y392" s="1" t="s">
        <v>2744</v>
      </c>
      <c r="Z392" s="1" t="s">
        <v>2744</v>
      </c>
      <c r="AA392" s="1" t="s">
        <v>2744</v>
      </c>
      <c r="AB392" s="1" t="s">
        <v>2744</v>
      </c>
      <c r="AC392" s="1" t="s">
        <v>2744</v>
      </c>
    </row>
    <row r="393" spans="2:29" x14ac:dyDescent="0.3">
      <c r="B393" s="18" t="s">
        <v>1346</v>
      </c>
      <c r="C393" s="25" t="s">
        <v>3897</v>
      </c>
      <c r="D393" s="15" t="s">
        <v>2</v>
      </c>
      <c r="E393" s="20" t="s">
        <v>2</v>
      </c>
      <c r="F393" s="6"/>
      <c r="G393" s="5" t="s">
        <v>2</v>
      </c>
      <c r="H393" s="28"/>
      <c r="I393" s="4"/>
      <c r="J393" s="2"/>
      <c r="K393" s="4"/>
      <c r="L393" s="4"/>
      <c r="M393" s="4"/>
      <c r="N393" s="4"/>
      <c r="O393" s="4"/>
      <c r="P393" s="24"/>
      <c r="Q393" s="4"/>
      <c r="R393" s="4"/>
      <c r="S393" s="4"/>
      <c r="T393" s="4"/>
      <c r="U393" s="24"/>
      <c r="V393" s="4"/>
      <c r="W393" s="2"/>
      <c r="X393" s="2"/>
      <c r="Y393" s="5" t="s">
        <v>2</v>
      </c>
      <c r="Z393" s="5" t="s">
        <v>2</v>
      </c>
      <c r="AA393" s="5" t="s">
        <v>2</v>
      </c>
      <c r="AB393" s="21" t="s">
        <v>2</v>
      </c>
      <c r="AC393" s="26" t="s">
        <v>2</v>
      </c>
    </row>
    <row r="394" spans="2:29" x14ac:dyDescent="0.3">
      <c r="B394" s="7" t="s">
        <v>2744</v>
      </c>
      <c r="C394" s="1" t="s">
        <v>2744</v>
      </c>
      <c r="D394" s="8" t="s">
        <v>2744</v>
      </c>
      <c r="E394" s="1" t="s">
        <v>2744</v>
      </c>
      <c r="F394" s="1" t="s">
        <v>2744</v>
      </c>
      <c r="G394" s="1" t="s">
        <v>2744</v>
      </c>
      <c r="H394" s="1" t="s">
        <v>2744</v>
      </c>
      <c r="I394" s="1" t="s">
        <v>2744</v>
      </c>
      <c r="J394" s="1" t="s">
        <v>2744</v>
      </c>
      <c r="K394" s="1" t="s">
        <v>2744</v>
      </c>
      <c r="L394" s="1" t="s">
        <v>2744</v>
      </c>
      <c r="M394" s="1" t="s">
        <v>2744</v>
      </c>
      <c r="N394" s="1" t="s">
        <v>2744</v>
      </c>
      <c r="O394" s="1" t="s">
        <v>2744</v>
      </c>
      <c r="P394" s="1" t="s">
        <v>2744</v>
      </c>
      <c r="Q394" s="1" t="s">
        <v>2744</v>
      </c>
      <c r="R394" s="1" t="s">
        <v>2744</v>
      </c>
      <c r="S394" s="1" t="s">
        <v>2744</v>
      </c>
      <c r="T394" s="1" t="s">
        <v>2744</v>
      </c>
      <c r="U394" s="1" t="s">
        <v>2744</v>
      </c>
      <c r="V394" s="1" t="s">
        <v>2744</v>
      </c>
      <c r="W394" s="1" t="s">
        <v>2744</v>
      </c>
      <c r="X394" s="1" t="s">
        <v>2744</v>
      </c>
      <c r="Y394" s="1" t="s">
        <v>2744</v>
      </c>
      <c r="Z394" s="1" t="s">
        <v>2744</v>
      </c>
      <c r="AA394" s="1" t="s">
        <v>2744</v>
      </c>
      <c r="AB394" s="1" t="s">
        <v>2744</v>
      </c>
      <c r="AC394" s="1" t="s">
        <v>2744</v>
      </c>
    </row>
    <row r="395" spans="2:29" ht="56" x14ac:dyDescent="0.3">
      <c r="B395" s="19" t="s">
        <v>2474</v>
      </c>
      <c r="C395" s="17" t="s">
        <v>2690</v>
      </c>
      <c r="D395" s="16"/>
      <c r="E395" s="2"/>
      <c r="F395" s="2"/>
      <c r="G395" s="2"/>
      <c r="H395" s="2"/>
      <c r="I395" s="3">
        <f>SUM(GMIC_22A_SCDPT4!SCDPT4_571BEGINNG_7:GMIC_22A_SCDPT4!SCDPT4_571ENDINGG_7)</f>
        <v>0</v>
      </c>
      <c r="J395" s="2"/>
      <c r="K395" s="3">
        <f>SUM(GMIC_22A_SCDPT4!SCDPT4_571BEGINNG_9:GMIC_22A_SCDPT4!SCDPT4_571ENDINGG_9)</f>
        <v>0</v>
      </c>
      <c r="L395" s="3">
        <f>SUM(GMIC_22A_SCDPT4!SCDPT4_571BEGINNG_10:GMIC_22A_SCDPT4!SCDPT4_571ENDINGG_10)</f>
        <v>0</v>
      </c>
      <c r="M395" s="3">
        <f>SUM(GMIC_22A_SCDPT4!SCDPT4_571BEGINNG_11:GMIC_22A_SCDPT4!SCDPT4_571ENDINGG_11)</f>
        <v>0</v>
      </c>
      <c r="N395" s="3">
        <f>SUM(GMIC_22A_SCDPT4!SCDPT4_571BEGINNG_12:GMIC_22A_SCDPT4!SCDPT4_571ENDINGG_12)</f>
        <v>0</v>
      </c>
      <c r="O395" s="3">
        <f>SUM(GMIC_22A_SCDPT4!SCDPT4_571BEGINNG_13:GMIC_22A_SCDPT4!SCDPT4_571ENDINGG_13)</f>
        <v>0</v>
      </c>
      <c r="P395" s="3">
        <f>SUM(GMIC_22A_SCDPT4!SCDPT4_571BEGINNG_14:GMIC_22A_SCDPT4!SCDPT4_571ENDINGG_14)</f>
        <v>0</v>
      </c>
      <c r="Q395" s="3">
        <f>SUM(GMIC_22A_SCDPT4!SCDPT4_571BEGINNG_15:GMIC_22A_SCDPT4!SCDPT4_571ENDINGG_15)</f>
        <v>0</v>
      </c>
      <c r="R395" s="3">
        <f>SUM(GMIC_22A_SCDPT4!SCDPT4_571BEGINNG_16:GMIC_22A_SCDPT4!SCDPT4_571ENDINGG_16)</f>
        <v>0</v>
      </c>
      <c r="S395" s="3">
        <f>SUM(GMIC_22A_SCDPT4!SCDPT4_571BEGINNG_17:GMIC_22A_SCDPT4!SCDPT4_571ENDINGG_17)</f>
        <v>0</v>
      </c>
      <c r="T395" s="3">
        <f>SUM(GMIC_22A_SCDPT4!SCDPT4_571BEGINNG_18:GMIC_22A_SCDPT4!SCDPT4_571ENDINGG_18)</f>
        <v>0</v>
      </c>
      <c r="U395" s="3">
        <f>SUM(GMIC_22A_SCDPT4!SCDPT4_571BEGINNG_19:GMIC_22A_SCDPT4!SCDPT4_571ENDINGG_19)</f>
        <v>0</v>
      </c>
      <c r="V395" s="3">
        <f>SUM(GMIC_22A_SCDPT4!SCDPT4_571BEGINNG_20:GMIC_22A_SCDPT4!SCDPT4_571ENDINGG_20)</f>
        <v>0</v>
      </c>
      <c r="W395" s="2"/>
      <c r="X395" s="2"/>
      <c r="Y395" s="2"/>
      <c r="Z395" s="2"/>
      <c r="AA395" s="2"/>
      <c r="AB395" s="2"/>
      <c r="AC395" s="2"/>
    </row>
    <row r="396" spans="2:29" x14ac:dyDescent="0.3">
      <c r="B396" s="7" t="s">
        <v>2744</v>
      </c>
      <c r="C396" s="1" t="s">
        <v>2744</v>
      </c>
      <c r="D396" s="8" t="s">
        <v>2744</v>
      </c>
      <c r="E396" s="1" t="s">
        <v>2744</v>
      </c>
      <c r="F396" s="1" t="s">
        <v>2744</v>
      </c>
      <c r="G396" s="1" t="s">
        <v>2744</v>
      </c>
      <c r="H396" s="1" t="s">
        <v>2744</v>
      </c>
      <c r="I396" s="1" t="s">
        <v>2744</v>
      </c>
      <c r="J396" s="1" t="s">
        <v>2744</v>
      </c>
      <c r="K396" s="1" t="s">
        <v>2744</v>
      </c>
      <c r="L396" s="1" t="s">
        <v>2744</v>
      </c>
      <c r="M396" s="1" t="s">
        <v>2744</v>
      </c>
      <c r="N396" s="1" t="s">
        <v>2744</v>
      </c>
      <c r="O396" s="1" t="s">
        <v>2744</v>
      </c>
      <c r="P396" s="1" t="s">
        <v>2744</v>
      </c>
      <c r="Q396" s="1" t="s">
        <v>2744</v>
      </c>
      <c r="R396" s="1" t="s">
        <v>2744</v>
      </c>
      <c r="S396" s="1" t="s">
        <v>2744</v>
      </c>
      <c r="T396" s="1" t="s">
        <v>2744</v>
      </c>
      <c r="U396" s="1" t="s">
        <v>2744</v>
      </c>
      <c r="V396" s="1" t="s">
        <v>2744</v>
      </c>
      <c r="W396" s="1" t="s">
        <v>2744</v>
      </c>
      <c r="X396" s="1" t="s">
        <v>2744</v>
      </c>
      <c r="Y396" s="1" t="s">
        <v>2744</v>
      </c>
      <c r="Z396" s="1" t="s">
        <v>2744</v>
      </c>
      <c r="AA396" s="1" t="s">
        <v>2744</v>
      </c>
      <c r="AB396" s="1" t="s">
        <v>2744</v>
      </c>
      <c r="AC396" s="1" t="s">
        <v>2744</v>
      </c>
    </row>
    <row r="397" spans="2:29" x14ac:dyDescent="0.3">
      <c r="B397" s="18" t="s">
        <v>455</v>
      </c>
      <c r="C397" s="25" t="s">
        <v>3897</v>
      </c>
      <c r="D397" s="15" t="s">
        <v>2</v>
      </c>
      <c r="E397" s="20" t="s">
        <v>2</v>
      </c>
      <c r="F397" s="6"/>
      <c r="G397" s="5" t="s">
        <v>2</v>
      </c>
      <c r="H397" s="28"/>
      <c r="I397" s="4"/>
      <c r="J397" s="2"/>
      <c r="K397" s="4"/>
      <c r="L397" s="4"/>
      <c r="M397" s="4"/>
      <c r="N397" s="4"/>
      <c r="O397" s="4"/>
      <c r="P397" s="24"/>
      <c r="Q397" s="4"/>
      <c r="R397" s="4"/>
      <c r="S397" s="4"/>
      <c r="T397" s="4"/>
      <c r="U397" s="24"/>
      <c r="V397" s="4"/>
      <c r="W397" s="2"/>
      <c r="X397" s="2"/>
      <c r="Y397" s="5" t="s">
        <v>2</v>
      </c>
      <c r="Z397" s="5" t="s">
        <v>2</v>
      </c>
      <c r="AA397" s="5" t="s">
        <v>2</v>
      </c>
      <c r="AB397" s="21" t="s">
        <v>2</v>
      </c>
      <c r="AC397" s="26" t="s">
        <v>2</v>
      </c>
    </row>
    <row r="398" spans="2:29" x14ac:dyDescent="0.3">
      <c r="B398" s="7" t="s">
        <v>2744</v>
      </c>
      <c r="C398" s="1" t="s">
        <v>2744</v>
      </c>
      <c r="D398" s="8" t="s">
        <v>2744</v>
      </c>
      <c r="E398" s="1" t="s">
        <v>2744</v>
      </c>
      <c r="F398" s="1" t="s">
        <v>2744</v>
      </c>
      <c r="G398" s="1" t="s">
        <v>2744</v>
      </c>
      <c r="H398" s="1" t="s">
        <v>2744</v>
      </c>
      <c r="I398" s="1" t="s">
        <v>2744</v>
      </c>
      <c r="J398" s="1" t="s">
        <v>2744</v>
      </c>
      <c r="K398" s="1" t="s">
        <v>2744</v>
      </c>
      <c r="L398" s="1" t="s">
        <v>2744</v>
      </c>
      <c r="M398" s="1" t="s">
        <v>2744</v>
      </c>
      <c r="N398" s="1" t="s">
        <v>2744</v>
      </c>
      <c r="O398" s="1" t="s">
        <v>2744</v>
      </c>
      <c r="P398" s="1" t="s">
        <v>2744</v>
      </c>
      <c r="Q398" s="1" t="s">
        <v>2744</v>
      </c>
      <c r="R398" s="1" t="s">
        <v>2744</v>
      </c>
      <c r="S398" s="1" t="s">
        <v>2744</v>
      </c>
      <c r="T398" s="1" t="s">
        <v>2744</v>
      </c>
      <c r="U398" s="1" t="s">
        <v>2744</v>
      </c>
      <c r="V398" s="1" t="s">
        <v>2744</v>
      </c>
      <c r="W398" s="1" t="s">
        <v>2744</v>
      </c>
      <c r="X398" s="1" t="s">
        <v>2744</v>
      </c>
      <c r="Y398" s="1" t="s">
        <v>2744</v>
      </c>
      <c r="Z398" s="1" t="s">
        <v>2744</v>
      </c>
      <c r="AA398" s="1" t="s">
        <v>2744</v>
      </c>
      <c r="AB398" s="1" t="s">
        <v>2744</v>
      </c>
      <c r="AC398" s="1" t="s">
        <v>2744</v>
      </c>
    </row>
    <row r="399" spans="2:29" ht="56" x14ac:dyDescent="0.3">
      <c r="B399" s="19" t="s">
        <v>1575</v>
      </c>
      <c r="C399" s="17" t="s">
        <v>3600</v>
      </c>
      <c r="D399" s="16"/>
      <c r="E399" s="2"/>
      <c r="F399" s="2"/>
      <c r="G399" s="2"/>
      <c r="H399" s="2"/>
      <c r="I399" s="3">
        <f>SUM(GMIC_22A_SCDPT4!SCDPT4_572BEGINNG_7:GMIC_22A_SCDPT4!SCDPT4_572ENDINGG_7)</f>
        <v>0</v>
      </c>
      <c r="J399" s="2"/>
      <c r="K399" s="3">
        <f>SUM(GMIC_22A_SCDPT4!SCDPT4_572BEGINNG_9:GMIC_22A_SCDPT4!SCDPT4_572ENDINGG_9)</f>
        <v>0</v>
      </c>
      <c r="L399" s="3">
        <f>SUM(GMIC_22A_SCDPT4!SCDPT4_572BEGINNG_10:GMIC_22A_SCDPT4!SCDPT4_572ENDINGG_10)</f>
        <v>0</v>
      </c>
      <c r="M399" s="3">
        <f>SUM(GMIC_22A_SCDPT4!SCDPT4_572BEGINNG_11:GMIC_22A_SCDPT4!SCDPT4_572ENDINGG_11)</f>
        <v>0</v>
      </c>
      <c r="N399" s="3">
        <f>SUM(GMIC_22A_SCDPT4!SCDPT4_572BEGINNG_12:GMIC_22A_SCDPT4!SCDPT4_572ENDINGG_12)</f>
        <v>0</v>
      </c>
      <c r="O399" s="3">
        <f>SUM(GMIC_22A_SCDPT4!SCDPT4_572BEGINNG_13:GMIC_22A_SCDPT4!SCDPT4_572ENDINGG_13)</f>
        <v>0</v>
      </c>
      <c r="P399" s="3">
        <f>SUM(GMIC_22A_SCDPT4!SCDPT4_572BEGINNG_14:GMIC_22A_SCDPT4!SCDPT4_572ENDINGG_14)</f>
        <v>0</v>
      </c>
      <c r="Q399" s="3">
        <f>SUM(GMIC_22A_SCDPT4!SCDPT4_572BEGINNG_15:GMIC_22A_SCDPT4!SCDPT4_572ENDINGG_15)</f>
        <v>0</v>
      </c>
      <c r="R399" s="3">
        <f>SUM(GMIC_22A_SCDPT4!SCDPT4_572BEGINNG_16:GMIC_22A_SCDPT4!SCDPT4_572ENDINGG_16)</f>
        <v>0</v>
      </c>
      <c r="S399" s="3">
        <f>SUM(GMIC_22A_SCDPT4!SCDPT4_572BEGINNG_17:GMIC_22A_SCDPT4!SCDPT4_572ENDINGG_17)</f>
        <v>0</v>
      </c>
      <c r="T399" s="3">
        <f>SUM(GMIC_22A_SCDPT4!SCDPT4_572BEGINNG_18:GMIC_22A_SCDPT4!SCDPT4_572ENDINGG_18)</f>
        <v>0</v>
      </c>
      <c r="U399" s="3">
        <f>SUM(GMIC_22A_SCDPT4!SCDPT4_572BEGINNG_19:GMIC_22A_SCDPT4!SCDPT4_572ENDINGG_19)</f>
        <v>0</v>
      </c>
      <c r="V399" s="3">
        <f>SUM(GMIC_22A_SCDPT4!SCDPT4_572BEGINNG_20:GMIC_22A_SCDPT4!SCDPT4_572ENDINGG_20)</f>
        <v>0</v>
      </c>
      <c r="W399" s="2"/>
      <c r="X399" s="2"/>
      <c r="Y399" s="2"/>
      <c r="Z399" s="2"/>
      <c r="AA399" s="2"/>
      <c r="AB399" s="2"/>
      <c r="AC399" s="2"/>
    </row>
    <row r="400" spans="2:29" x14ac:dyDescent="0.3">
      <c r="B400" s="7" t="s">
        <v>2744</v>
      </c>
      <c r="C400" s="1" t="s">
        <v>2744</v>
      </c>
      <c r="D400" s="8" t="s">
        <v>2744</v>
      </c>
      <c r="E400" s="1" t="s">
        <v>2744</v>
      </c>
      <c r="F400" s="1" t="s">
        <v>2744</v>
      </c>
      <c r="G400" s="1" t="s">
        <v>2744</v>
      </c>
      <c r="H400" s="1" t="s">
        <v>2744</v>
      </c>
      <c r="I400" s="1" t="s">
        <v>2744</v>
      </c>
      <c r="J400" s="1" t="s">
        <v>2744</v>
      </c>
      <c r="K400" s="1" t="s">
        <v>2744</v>
      </c>
      <c r="L400" s="1" t="s">
        <v>2744</v>
      </c>
      <c r="M400" s="1" t="s">
        <v>2744</v>
      </c>
      <c r="N400" s="1" t="s">
        <v>2744</v>
      </c>
      <c r="O400" s="1" t="s">
        <v>2744</v>
      </c>
      <c r="P400" s="1" t="s">
        <v>2744</v>
      </c>
      <c r="Q400" s="1" t="s">
        <v>2744</v>
      </c>
      <c r="R400" s="1" t="s">
        <v>2744</v>
      </c>
      <c r="S400" s="1" t="s">
        <v>2744</v>
      </c>
      <c r="T400" s="1" t="s">
        <v>2744</v>
      </c>
      <c r="U400" s="1" t="s">
        <v>2744</v>
      </c>
      <c r="V400" s="1" t="s">
        <v>2744</v>
      </c>
      <c r="W400" s="1" t="s">
        <v>2744</v>
      </c>
      <c r="X400" s="1" t="s">
        <v>2744</v>
      </c>
      <c r="Y400" s="1" t="s">
        <v>2744</v>
      </c>
      <c r="Z400" s="1" t="s">
        <v>2744</v>
      </c>
      <c r="AA400" s="1" t="s">
        <v>2744</v>
      </c>
      <c r="AB400" s="1" t="s">
        <v>2744</v>
      </c>
      <c r="AC400" s="1" t="s">
        <v>2744</v>
      </c>
    </row>
    <row r="401" spans="2:29" x14ac:dyDescent="0.3">
      <c r="B401" s="18" t="s">
        <v>1577</v>
      </c>
      <c r="C401" s="25" t="s">
        <v>3897</v>
      </c>
      <c r="D401" s="15" t="s">
        <v>2</v>
      </c>
      <c r="E401" s="20" t="s">
        <v>2</v>
      </c>
      <c r="F401" s="6"/>
      <c r="G401" s="5" t="s">
        <v>2</v>
      </c>
      <c r="H401" s="28"/>
      <c r="I401" s="4"/>
      <c r="J401" s="2"/>
      <c r="K401" s="4"/>
      <c r="L401" s="4"/>
      <c r="M401" s="4"/>
      <c r="N401" s="4"/>
      <c r="O401" s="4"/>
      <c r="P401" s="24"/>
      <c r="Q401" s="4"/>
      <c r="R401" s="4"/>
      <c r="S401" s="4"/>
      <c r="T401" s="4"/>
      <c r="U401" s="24"/>
      <c r="V401" s="4"/>
      <c r="W401" s="2"/>
      <c r="X401" s="2"/>
      <c r="Y401" s="5" t="s">
        <v>2</v>
      </c>
      <c r="Z401" s="5" t="s">
        <v>2</v>
      </c>
      <c r="AA401" s="5" t="s">
        <v>2</v>
      </c>
      <c r="AB401" s="21" t="s">
        <v>2</v>
      </c>
      <c r="AC401" s="26" t="s">
        <v>2</v>
      </c>
    </row>
    <row r="402" spans="2:29" x14ac:dyDescent="0.3">
      <c r="B402" s="7" t="s">
        <v>2744</v>
      </c>
      <c r="C402" s="1" t="s">
        <v>2744</v>
      </c>
      <c r="D402" s="8" t="s">
        <v>2744</v>
      </c>
      <c r="E402" s="1" t="s">
        <v>2744</v>
      </c>
      <c r="F402" s="1" t="s">
        <v>2744</v>
      </c>
      <c r="G402" s="1" t="s">
        <v>2744</v>
      </c>
      <c r="H402" s="1" t="s">
        <v>2744</v>
      </c>
      <c r="I402" s="1" t="s">
        <v>2744</v>
      </c>
      <c r="J402" s="1" t="s">
        <v>2744</v>
      </c>
      <c r="K402" s="1" t="s">
        <v>2744</v>
      </c>
      <c r="L402" s="1" t="s">
        <v>2744</v>
      </c>
      <c r="M402" s="1" t="s">
        <v>2744</v>
      </c>
      <c r="N402" s="1" t="s">
        <v>2744</v>
      </c>
      <c r="O402" s="1" t="s">
        <v>2744</v>
      </c>
      <c r="P402" s="1" t="s">
        <v>2744</v>
      </c>
      <c r="Q402" s="1" t="s">
        <v>2744</v>
      </c>
      <c r="R402" s="1" t="s">
        <v>2744</v>
      </c>
      <c r="S402" s="1" t="s">
        <v>2744</v>
      </c>
      <c r="T402" s="1" t="s">
        <v>2744</v>
      </c>
      <c r="U402" s="1" t="s">
        <v>2744</v>
      </c>
      <c r="V402" s="1" t="s">
        <v>2744</v>
      </c>
      <c r="W402" s="1" t="s">
        <v>2744</v>
      </c>
      <c r="X402" s="1" t="s">
        <v>2744</v>
      </c>
      <c r="Y402" s="1" t="s">
        <v>2744</v>
      </c>
      <c r="Z402" s="1" t="s">
        <v>2744</v>
      </c>
      <c r="AA402" s="1" t="s">
        <v>2744</v>
      </c>
      <c r="AB402" s="1" t="s">
        <v>2744</v>
      </c>
      <c r="AC402" s="1" t="s">
        <v>2744</v>
      </c>
    </row>
    <row r="403" spans="2:29" ht="28" x14ac:dyDescent="0.3">
      <c r="B403" s="19" t="s">
        <v>2691</v>
      </c>
      <c r="C403" s="17" t="s">
        <v>199</v>
      </c>
      <c r="D403" s="16"/>
      <c r="E403" s="2"/>
      <c r="F403" s="2"/>
      <c r="G403" s="2"/>
      <c r="H403" s="2"/>
      <c r="I403" s="3">
        <f>SUM(GMIC_22A_SCDPT4!SCDPT4_581BEGINNG_7:GMIC_22A_SCDPT4!SCDPT4_581ENDINGG_7)</f>
        <v>0</v>
      </c>
      <c r="J403" s="2"/>
      <c r="K403" s="3">
        <f>SUM(GMIC_22A_SCDPT4!SCDPT4_581BEGINNG_9:GMIC_22A_SCDPT4!SCDPT4_581ENDINGG_9)</f>
        <v>0</v>
      </c>
      <c r="L403" s="3">
        <f>SUM(GMIC_22A_SCDPT4!SCDPT4_581BEGINNG_10:GMIC_22A_SCDPT4!SCDPT4_581ENDINGG_10)</f>
        <v>0</v>
      </c>
      <c r="M403" s="3">
        <f>SUM(GMIC_22A_SCDPT4!SCDPT4_581BEGINNG_11:GMIC_22A_SCDPT4!SCDPT4_581ENDINGG_11)</f>
        <v>0</v>
      </c>
      <c r="N403" s="3">
        <f>SUM(GMIC_22A_SCDPT4!SCDPT4_581BEGINNG_12:GMIC_22A_SCDPT4!SCDPT4_581ENDINGG_12)</f>
        <v>0</v>
      </c>
      <c r="O403" s="3">
        <f>SUM(GMIC_22A_SCDPT4!SCDPT4_581BEGINNG_13:GMIC_22A_SCDPT4!SCDPT4_581ENDINGG_13)</f>
        <v>0</v>
      </c>
      <c r="P403" s="3">
        <f>SUM(GMIC_22A_SCDPT4!SCDPT4_581BEGINNG_14:GMIC_22A_SCDPT4!SCDPT4_581ENDINGG_14)</f>
        <v>0</v>
      </c>
      <c r="Q403" s="3">
        <f>SUM(GMIC_22A_SCDPT4!SCDPT4_581BEGINNG_15:GMIC_22A_SCDPT4!SCDPT4_581ENDINGG_15)</f>
        <v>0</v>
      </c>
      <c r="R403" s="3">
        <f>SUM(GMIC_22A_SCDPT4!SCDPT4_581BEGINNG_16:GMIC_22A_SCDPT4!SCDPT4_581ENDINGG_16)</f>
        <v>0</v>
      </c>
      <c r="S403" s="3">
        <f>SUM(GMIC_22A_SCDPT4!SCDPT4_581BEGINNG_17:GMIC_22A_SCDPT4!SCDPT4_581ENDINGG_17)</f>
        <v>0</v>
      </c>
      <c r="T403" s="3">
        <f>SUM(GMIC_22A_SCDPT4!SCDPT4_581BEGINNG_18:GMIC_22A_SCDPT4!SCDPT4_581ENDINGG_18)</f>
        <v>0</v>
      </c>
      <c r="U403" s="3">
        <f>SUM(GMIC_22A_SCDPT4!SCDPT4_581BEGINNG_19:GMIC_22A_SCDPT4!SCDPT4_581ENDINGG_19)</f>
        <v>0</v>
      </c>
      <c r="V403" s="3">
        <f>SUM(GMIC_22A_SCDPT4!SCDPT4_581BEGINNG_20:GMIC_22A_SCDPT4!SCDPT4_581ENDINGG_20)</f>
        <v>0</v>
      </c>
      <c r="W403" s="2"/>
      <c r="X403" s="2"/>
      <c r="Y403" s="2"/>
      <c r="Z403" s="2"/>
      <c r="AA403" s="2"/>
      <c r="AB403" s="2"/>
      <c r="AC403" s="2"/>
    </row>
    <row r="404" spans="2:29" x14ac:dyDescent="0.3">
      <c r="B404" s="7" t="s">
        <v>2744</v>
      </c>
      <c r="C404" s="1" t="s">
        <v>2744</v>
      </c>
      <c r="D404" s="8" t="s">
        <v>2744</v>
      </c>
      <c r="E404" s="1" t="s">
        <v>2744</v>
      </c>
      <c r="F404" s="1" t="s">
        <v>2744</v>
      </c>
      <c r="G404" s="1" t="s">
        <v>2744</v>
      </c>
      <c r="H404" s="1" t="s">
        <v>2744</v>
      </c>
      <c r="I404" s="1" t="s">
        <v>2744</v>
      </c>
      <c r="J404" s="1" t="s">
        <v>2744</v>
      </c>
      <c r="K404" s="1" t="s">
        <v>2744</v>
      </c>
      <c r="L404" s="1" t="s">
        <v>2744</v>
      </c>
      <c r="M404" s="1" t="s">
        <v>2744</v>
      </c>
      <c r="N404" s="1" t="s">
        <v>2744</v>
      </c>
      <c r="O404" s="1" t="s">
        <v>2744</v>
      </c>
      <c r="P404" s="1" t="s">
        <v>2744</v>
      </c>
      <c r="Q404" s="1" t="s">
        <v>2744</v>
      </c>
      <c r="R404" s="1" t="s">
        <v>2744</v>
      </c>
      <c r="S404" s="1" t="s">
        <v>2744</v>
      </c>
      <c r="T404" s="1" t="s">
        <v>2744</v>
      </c>
      <c r="U404" s="1" t="s">
        <v>2744</v>
      </c>
      <c r="V404" s="1" t="s">
        <v>2744</v>
      </c>
      <c r="W404" s="1" t="s">
        <v>2744</v>
      </c>
      <c r="X404" s="1" t="s">
        <v>2744</v>
      </c>
      <c r="Y404" s="1" t="s">
        <v>2744</v>
      </c>
      <c r="Z404" s="1" t="s">
        <v>2744</v>
      </c>
      <c r="AA404" s="1" t="s">
        <v>2744</v>
      </c>
      <c r="AB404" s="1" t="s">
        <v>2744</v>
      </c>
      <c r="AC404" s="1" t="s">
        <v>2744</v>
      </c>
    </row>
    <row r="405" spans="2:29" x14ac:dyDescent="0.3">
      <c r="B405" s="18" t="s">
        <v>1842</v>
      </c>
      <c r="C405" s="25" t="s">
        <v>3897</v>
      </c>
      <c r="D405" s="15" t="s">
        <v>2</v>
      </c>
      <c r="E405" s="20" t="s">
        <v>2</v>
      </c>
      <c r="F405" s="6"/>
      <c r="G405" s="5" t="s">
        <v>2</v>
      </c>
      <c r="H405" s="28"/>
      <c r="I405" s="4"/>
      <c r="J405" s="2"/>
      <c r="K405" s="4"/>
      <c r="L405" s="4"/>
      <c r="M405" s="4"/>
      <c r="N405" s="4"/>
      <c r="O405" s="4"/>
      <c r="P405" s="24"/>
      <c r="Q405" s="4"/>
      <c r="R405" s="4"/>
      <c r="S405" s="4"/>
      <c r="T405" s="4"/>
      <c r="U405" s="24"/>
      <c r="V405" s="4"/>
      <c r="W405" s="2"/>
      <c r="X405" s="2"/>
      <c r="Y405" s="5" t="s">
        <v>2</v>
      </c>
      <c r="Z405" s="5" t="s">
        <v>2</v>
      </c>
      <c r="AA405" s="5" t="s">
        <v>2</v>
      </c>
      <c r="AB405" s="21" t="s">
        <v>2</v>
      </c>
      <c r="AC405" s="26" t="s">
        <v>2</v>
      </c>
    </row>
    <row r="406" spans="2:29" x14ac:dyDescent="0.3">
      <c r="B406" s="7" t="s">
        <v>2744</v>
      </c>
      <c r="C406" s="1" t="s">
        <v>2744</v>
      </c>
      <c r="D406" s="8" t="s">
        <v>2744</v>
      </c>
      <c r="E406" s="1" t="s">
        <v>2744</v>
      </c>
      <c r="F406" s="1" t="s">
        <v>2744</v>
      </c>
      <c r="G406" s="1" t="s">
        <v>2744</v>
      </c>
      <c r="H406" s="1" t="s">
        <v>2744</v>
      </c>
      <c r="I406" s="1" t="s">
        <v>2744</v>
      </c>
      <c r="J406" s="1" t="s">
        <v>2744</v>
      </c>
      <c r="K406" s="1" t="s">
        <v>2744</v>
      </c>
      <c r="L406" s="1" t="s">
        <v>2744</v>
      </c>
      <c r="M406" s="1" t="s">
        <v>2744</v>
      </c>
      <c r="N406" s="1" t="s">
        <v>2744</v>
      </c>
      <c r="O406" s="1" t="s">
        <v>2744</v>
      </c>
      <c r="P406" s="1" t="s">
        <v>2744</v>
      </c>
      <c r="Q406" s="1" t="s">
        <v>2744</v>
      </c>
      <c r="R406" s="1" t="s">
        <v>2744</v>
      </c>
      <c r="S406" s="1" t="s">
        <v>2744</v>
      </c>
      <c r="T406" s="1" t="s">
        <v>2744</v>
      </c>
      <c r="U406" s="1" t="s">
        <v>2744</v>
      </c>
      <c r="V406" s="1" t="s">
        <v>2744</v>
      </c>
      <c r="W406" s="1" t="s">
        <v>2744</v>
      </c>
      <c r="X406" s="1" t="s">
        <v>2744</v>
      </c>
      <c r="Y406" s="1" t="s">
        <v>2744</v>
      </c>
      <c r="Z406" s="1" t="s">
        <v>2744</v>
      </c>
      <c r="AA406" s="1" t="s">
        <v>2744</v>
      </c>
      <c r="AB406" s="1" t="s">
        <v>2744</v>
      </c>
      <c r="AC406" s="1" t="s">
        <v>2744</v>
      </c>
    </row>
    <row r="407" spans="2:29" ht="42" x14ac:dyDescent="0.3">
      <c r="B407" s="19" t="s">
        <v>2976</v>
      </c>
      <c r="C407" s="17" t="s">
        <v>3001</v>
      </c>
      <c r="D407" s="16"/>
      <c r="E407" s="2"/>
      <c r="F407" s="2"/>
      <c r="G407" s="2"/>
      <c r="H407" s="2"/>
      <c r="I407" s="3">
        <f>SUM(GMIC_22A_SCDPT4!SCDPT4_591BEGINNG_7:GMIC_22A_SCDPT4!SCDPT4_591ENDINGG_7)</f>
        <v>0</v>
      </c>
      <c r="J407" s="2"/>
      <c r="K407" s="3">
        <f>SUM(GMIC_22A_SCDPT4!SCDPT4_591BEGINNG_9:GMIC_22A_SCDPT4!SCDPT4_591ENDINGG_9)</f>
        <v>0</v>
      </c>
      <c r="L407" s="3">
        <f>SUM(GMIC_22A_SCDPT4!SCDPT4_591BEGINNG_10:GMIC_22A_SCDPT4!SCDPT4_591ENDINGG_10)</f>
        <v>0</v>
      </c>
      <c r="M407" s="3">
        <f>SUM(GMIC_22A_SCDPT4!SCDPT4_591BEGINNG_11:GMIC_22A_SCDPT4!SCDPT4_591ENDINGG_11)</f>
        <v>0</v>
      </c>
      <c r="N407" s="3">
        <f>SUM(GMIC_22A_SCDPT4!SCDPT4_591BEGINNG_12:GMIC_22A_SCDPT4!SCDPT4_591ENDINGG_12)</f>
        <v>0</v>
      </c>
      <c r="O407" s="3">
        <f>SUM(GMIC_22A_SCDPT4!SCDPT4_591BEGINNG_13:GMIC_22A_SCDPT4!SCDPT4_591ENDINGG_13)</f>
        <v>0</v>
      </c>
      <c r="P407" s="3">
        <f>SUM(GMIC_22A_SCDPT4!SCDPT4_591BEGINNG_14:GMIC_22A_SCDPT4!SCDPT4_591ENDINGG_14)</f>
        <v>0</v>
      </c>
      <c r="Q407" s="3">
        <f>SUM(GMIC_22A_SCDPT4!SCDPT4_591BEGINNG_15:GMIC_22A_SCDPT4!SCDPT4_591ENDINGG_15)</f>
        <v>0</v>
      </c>
      <c r="R407" s="3">
        <f>SUM(GMIC_22A_SCDPT4!SCDPT4_591BEGINNG_16:GMIC_22A_SCDPT4!SCDPT4_591ENDINGG_16)</f>
        <v>0</v>
      </c>
      <c r="S407" s="3">
        <f>SUM(GMIC_22A_SCDPT4!SCDPT4_591BEGINNG_17:GMIC_22A_SCDPT4!SCDPT4_591ENDINGG_17)</f>
        <v>0</v>
      </c>
      <c r="T407" s="3">
        <f>SUM(GMIC_22A_SCDPT4!SCDPT4_591BEGINNG_18:GMIC_22A_SCDPT4!SCDPT4_591ENDINGG_18)</f>
        <v>0</v>
      </c>
      <c r="U407" s="3">
        <f>SUM(GMIC_22A_SCDPT4!SCDPT4_591BEGINNG_19:GMIC_22A_SCDPT4!SCDPT4_591ENDINGG_19)</f>
        <v>0</v>
      </c>
      <c r="V407" s="3">
        <f>SUM(GMIC_22A_SCDPT4!SCDPT4_591BEGINNG_20:GMIC_22A_SCDPT4!SCDPT4_591ENDINGG_20)</f>
        <v>0</v>
      </c>
      <c r="W407" s="2"/>
      <c r="X407" s="2"/>
      <c r="Y407" s="2"/>
      <c r="Z407" s="2"/>
      <c r="AA407" s="2"/>
      <c r="AB407" s="2"/>
      <c r="AC407" s="2"/>
    </row>
    <row r="408" spans="2:29" x14ac:dyDescent="0.3">
      <c r="B408" s="7" t="s">
        <v>2744</v>
      </c>
      <c r="C408" s="1" t="s">
        <v>2744</v>
      </c>
      <c r="D408" s="8" t="s">
        <v>2744</v>
      </c>
      <c r="E408" s="1" t="s">
        <v>2744</v>
      </c>
      <c r="F408" s="1" t="s">
        <v>2744</v>
      </c>
      <c r="G408" s="1" t="s">
        <v>2744</v>
      </c>
      <c r="H408" s="1" t="s">
        <v>2744</v>
      </c>
      <c r="I408" s="1" t="s">
        <v>2744</v>
      </c>
      <c r="J408" s="1" t="s">
        <v>2744</v>
      </c>
      <c r="K408" s="1" t="s">
        <v>2744</v>
      </c>
      <c r="L408" s="1" t="s">
        <v>2744</v>
      </c>
      <c r="M408" s="1" t="s">
        <v>2744</v>
      </c>
      <c r="N408" s="1" t="s">
        <v>2744</v>
      </c>
      <c r="O408" s="1" t="s">
        <v>2744</v>
      </c>
      <c r="P408" s="1" t="s">
        <v>2744</v>
      </c>
      <c r="Q408" s="1" t="s">
        <v>2744</v>
      </c>
      <c r="R408" s="1" t="s">
        <v>2744</v>
      </c>
      <c r="S408" s="1" t="s">
        <v>2744</v>
      </c>
      <c r="T408" s="1" t="s">
        <v>2744</v>
      </c>
      <c r="U408" s="1" t="s">
        <v>2744</v>
      </c>
      <c r="V408" s="1" t="s">
        <v>2744</v>
      </c>
      <c r="W408" s="1" t="s">
        <v>2744</v>
      </c>
      <c r="X408" s="1" t="s">
        <v>2744</v>
      </c>
      <c r="Y408" s="1" t="s">
        <v>2744</v>
      </c>
      <c r="Z408" s="1" t="s">
        <v>2744</v>
      </c>
      <c r="AA408" s="1" t="s">
        <v>2744</v>
      </c>
      <c r="AB408" s="1" t="s">
        <v>2744</v>
      </c>
      <c r="AC408" s="1" t="s">
        <v>2744</v>
      </c>
    </row>
    <row r="409" spans="2:29" x14ac:dyDescent="0.3">
      <c r="B409" s="18" t="s">
        <v>1093</v>
      </c>
      <c r="C409" s="25" t="s">
        <v>3897</v>
      </c>
      <c r="D409" s="15" t="s">
        <v>2</v>
      </c>
      <c r="E409" s="20" t="s">
        <v>2</v>
      </c>
      <c r="F409" s="6"/>
      <c r="G409" s="5" t="s">
        <v>2</v>
      </c>
      <c r="H409" s="28"/>
      <c r="I409" s="4"/>
      <c r="J409" s="2"/>
      <c r="K409" s="4"/>
      <c r="L409" s="4"/>
      <c r="M409" s="4"/>
      <c r="N409" s="4"/>
      <c r="O409" s="4"/>
      <c r="P409" s="24"/>
      <c r="Q409" s="4"/>
      <c r="R409" s="4"/>
      <c r="S409" s="4"/>
      <c r="T409" s="4"/>
      <c r="U409" s="24"/>
      <c r="V409" s="4"/>
      <c r="W409" s="2"/>
      <c r="X409" s="2"/>
      <c r="Y409" s="5" t="s">
        <v>2</v>
      </c>
      <c r="Z409" s="5" t="s">
        <v>2</v>
      </c>
      <c r="AA409" s="5" t="s">
        <v>2</v>
      </c>
      <c r="AB409" s="21" t="s">
        <v>2</v>
      </c>
      <c r="AC409" s="26" t="s">
        <v>2</v>
      </c>
    </row>
    <row r="410" spans="2:29" x14ac:dyDescent="0.3">
      <c r="B410" s="7" t="s">
        <v>2744</v>
      </c>
      <c r="C410" s="1" t="s">
        <v>2744</v>
      </c>
      <c r="D410" s="8" t="s">
        <v>2744</v>
      </c>
      <c r="E410" s="1" t="s">
        <v>2744</v>
      </c>
      <c r="F410" s="1" t="s">
        <v>2744</v>
      </c>
      <c r="G410" s="1" t="s">
        <v>2744</v>
      </c>
      <c r="H410" s="1" t="s">
        <v>2744</v>
      </c>
      <c r="I410" s="1" t="s">
        <v>2744</v>
      </c>
      <c r="J410" s="1" t="s">
        <v>2744</v>
      </c>
      <c r="K410" s="1" t="s">
        <v>2744</v>
      </c>
      <c r="L410" s="1" t="s">
        <v>2744</v>
      </c>
      <c r="M410" s="1" t="s">
        <v>2744</v>
      </c>
      <c r="N410" s="1" t="s">
        <v>2744</v>
      </c>
      <c r="O410" s="1" t="s">
        <v>2744</v>
      </c>
      <c r="P410" s="1" t="s">
        <v>2744</v>
      </c>
      <c r="Q410" s="1" t="s">
        <v>2744</v>
      </c>
      <c r="R410" s="1" t="s">
        <v>2744</v>
      </c>
      <c r="S410" s="1" t="s">
        <v>2744</v>
      </c>
      <c r="T410" s="1" t="s">
        <v>2744</v>
      </c>
      <c r="U410" s="1" t="s">
        <v>2744</v>
      </c>
      <c r="V410" s="1" t="s">
        <v>2744</v>
      </c>
      <c r="W410" s="1" t="s">
        <v>2744</v>
      </c>
      <c r="X410" s="1" t="s">
        <v>2744</v>
      </c>
      <c r="Y410" s="1" t="s">
        <v>2744</v>
      </c>
      <c r="Z410" s="1" t="s">
        <v>2744</v>
      </c>
      <c r="AA410" s="1" t="s">
        <v>2744</v>
      </c>
      <c r="AB410" s="1" t="s">
        <v>2744</v>
      </c>
      <c r="AC410" s="1" t="s">
        <v>2744</v>
      </c>
    </row>
    <row r="411" spans="2:29" ht="42" x14ac:dyDescent="0.3">
      <c r="B411" s="19" t="s">
        <v>2174</v>
      </c>
      <c r="C411" s="17" t="s">
        <v>3611</v>
      </c>
      <c r="D411" s="16"/>
      <c r="E411" s="2"/>
      <c r="F411" s="2"/>
      <c r="G411" s="2"/>
      <c r="H411" s="2"/>
      <c r="I411" s="3">
        <f>SUM(GMIC_22A_SCDPT4!SCDPT4_592BEGINNG_7:GMIC_22A_SCDPT4!SCDPT4_592ENDINGG_7)</f>
        <v>0</v>
      </c>
      <c r="J411" s="2"/>
      <c r="K411" s="3">
        <f>SUM(GMIC_22A_SCDPT4!SCDPT4_592BEGINNG_9:GMIC_22A_SCDPT4!SCDPT4_592ENDINGG_9)</f>
        <v>0</v>
      </c>
      <c r="L411" s="3">
        <f>SUM(GMIC_22A_SCDPT4!SCDPT4_592BEGINNG_10:GMIC_22A_SCDPT4!SCDPT4_592ENDINGG_10)</f>
        <v>0</v>
      </c>
      <c r="M411" s="3">
        <f>SUM(GMIC_22A_SCDPT4!SCDPT4_592BEGINNG_11:GMIC_22A_SCDPT4!SCDPT4_592ENDINGG_11)</f>
        <v>0</v>
      </c>
      <c r="N411" s="3">
        <f>SUM(GMIC_22A_SCDPT4!SCDPT4_592BEGINNG_12:GMIC_22A_SCDPT4!SCDPT4_592ENDINGG_12)</f>
        <v>0</v>
      </c>
      <c r="O411" s="3">
        <f>SUM(GMIC_22A_SCDPT4!SCDPT4_592BEGINNG_13:GMIC_22A_SCDPT4!SCDPT4_592ENDINGG_13)</f>
        <v>0</v>
      </c>
      <c r="P411" s="3">
        <f>SUM(GMIC_22A_SCDPT4!SCDPT4_592BEGINNG_14:GMIC_22A_SCDPT4!SCDPT4_592ENDINGG_14)</f>
        <v>0</v>
      </c>
      <c r="Q411" s="3">
        <f>SUM(GMIC_22A_SCDPT4!SCDPT4_592BEGINNG_15:GMIC_22A_SCDPT4!SCDPT4_592ENDINGG_15)</f>
        <v>0</v>
      </c>
      <c r="R411" s="3">
        <f>SUM(GMIC_22A_SCDPT4!SCDPT4_592BEGINNG_16:GMIC_22A_SCDPT4!SCDPT4_592ENDINGG_16)</f>
        <v>0</v>
      </c>
      <c r="S411" s="3">
        <f>SUM(GMIC_22A_SCDPT4!SCDPT4_592BEGINNG_17:GMIC_22A_SCDPT4!SCDPT4_592ENDINGG_17)</f>
        <v>0</v>
      </c>
      <c r="T411" s="3">
        <f>SUM(GMIC_22A_SCDPT4!SCDPT4_592BEGINNG_18:GMIC_22A_SCDPT4!SCDPT4_592ENDINGG_18)</f>
        <v>0</v>
      </c>
      <c r="U411" s="3">
        <f>SUM(GMIC_22A_SCDPT4!SCDPT4_592BEGINNG_19:GMIC_22A_SCDPT4!SCDPT4_592ENDINGG_19)</f>
        <v>0</v>
      </c>
      <c r="V411" s="3">
        <f>SUM(GMIC_22A_SCDPT4!SCDPT4_592BEGINNG_20:GMIC_22A_SCDPT4!SCDPT4_592ENDINGG_20)</f>
        <v>0</v>
      </c>
      <c r="W411" s="2"/>
      <c r="X411" s="2"/>
      <c r="Y411" s="2"/>
      <c r="Z411" s="2"/>
      <c r="AA411" s="2"/>
      <c r="AB411" s="2"/>
      <c r="AC411" s="2"/>
    </row>
    <row r="412" spans="2:29" ht="28" x14ac:dyDescent="0.3">
      <c r="B412" s="19" t="s">
        <v>3855</v>
      </c>
      <c r="C412" s="17" t="s">
        <v>3643</v>
      </c>
      <c r="D412" s="16"/>
      <c r="E412" s="2"/>
      <c r="F412" s="2"/>
      <c r="G412" s="2"/>
      <c r="H412" s="2"/>
      <c r="I412" s="3">
        <f>GMIC_22A_SCDPT4!SCDPT4_5019999999_7+GMIC_22A_SCDPT4!SCDPT4_5029999999_7+GMIC_22A_SCDPT4!SCDPT4_5319999999_7+GMIC_22A_SCDPT4!SCDPT4_5329999999_7+GMIC_22A_SCDPT4!SCDPT4_5519999999_7+GMIC_22A_SCDPT4!SCDPT4_5529999999_7+GMIC_22A_SCDPT4!SCDPT4_5719999999_7+GMIC_22A_SCDPT4!SCDPT4_5729999999_7+GMIC_22A_SCDPT4!SCDPT4_5819999999_7+GMIC_22A_SCDPT4!SCDPT4_5919999999_7+GMIC_22A_SCDPT4!SCDPT4_5929999999_7</f>
        <v>0</v>
      </c>
      <c r="J412" s="2"/>
      <c r="K412" s="3">
        <f>GMIC_22A_SCDPT4!SCDPT4_5019999999_9+GMIC_22A_SCDPT4!SCDPT4_5029999999_9+GMIC_22A_SCDPT4!SCDPT4_5319999999_9+GMIC_22A_SCDPT4!SCDPT4_5329999999_9+GMIC_22A_SCDPT4!SCDPT4_5519999999_9+GMIC_22A_SCDPT4!SCDPT4_5529999999_9+GMIC_22A_SCDPT4!SCDPT4_5719999999_9+GMIC_22A_SCDPT4!SCDPT4_5729999999_9+GMIC_22A_SCDPT4!SCDPT4_5819999999_9+GMIC_22A_SCDPT4!SCDPT4_5919999999_9+GMIC_22A_SCDPT4!SCDPT4_5929999999_9</f>
        <v>0</v>
      </c>
      <c r="L412" s="3">
        <f>GMIC_22A_SCDPT4!SCDPT4_5019999999_10+GMIC_22A_SCDPT4!SCDPT4_5029999999_10+GMIC_22A_SCDPT4!SCDPT4_5319999999_10+GMIC_22A_SCDPT4!SCDPT4_5329999999_10+GMIC_22A_SCDPT4!SCDPT4_5519999999_10+GMIC_22A_SCDPT4!SCDPT4_5529999999_10+GMIC_22A_SCDPT4!SCDPT4_5719999999_10+GMIC_22A_SCDPT4!SCDPT4_5729999999_10+GMIC_22A_SCDPT4!SCDPT4_5819999999_10+GMIC_22A_SCDPT4!SCDPT4_5919999999_10+GMIC_22A_SCDPT4!SCDPT4_5929999999_10</f>
        <v>0</v>
      </c>
      <c r="M412" s="3">
        <f>GMIC_22A_SCDPT4!SCDPT4_5019999999_11+GMIC_22A_SCDPT4!SCDPT4_5029999999_11+GMIC_22A_SCDPT4!SCDPT4_5319999999_11+GMIC_22A_SCDPT4!SCDPT4_5329999999_11+GMIC_22A_SCDPT4!SCDPT4_5519999999_11+GMIC_22A_SCDPT4!SCDPT4_5529999999_11+GMIC_22A_SCDPT4!SCDPT4_5719999999_11+GMIC_22A_SCDPT4!SCDPT4_5729999999_11+GMIC_22A_SCDPT4!SCDPT4_5819999999_11+GMIC_22A_SCDPT4!SCDPT4_5919999999_11+GMIC_22A_SCDPT4!SCDPT4_5929999999_11</f>
        <v>0</v>
      </c>
      <c r="N412" s="3">
        <f>GMIC_22A_SCDPT4!SCDPT4_5019999999_12+GMIC_22A_SCDPT4!SCDPT4_5029999999_12+GMIC_22A_SCDPT4!SCDPT4_5319999999_12+GMIC_22A_SCDPT4!SCDPT4_5329999999_12+GMIC_22A_SCDPT4!SCDPT4_5519999999_12+GMIC_22A_SCDPT4!SCDPT4_5529999999_12+GMIC_22A_SCDPT4!SCDPT4_5719999999_12+GMIC_22A_SCDPT4!SCDPT4_5729999999_12+GMIC_22A_SCDPT4!SCDPT4_5819999999_12+GMIC_22A_SCDPT4!SCDPT4_5919999999_12+GMIC_22A_SCDPT4!SCDPT4_5929999999_12</f>
        <v>0</v>
      </c>
      <c r="O412" s="3">
        <f>GMIC_22A_SCDPT4!SCDPT4_5019999999_13+GMIC_22A_SCDPT4!SCDPT4_5029999999_13+GMIC_22A_SCDPT4!SCDPT4_5319999999_13+GMIC_22A_SCDPT4!SCDPT4_5329999999_13+GMIC_22A_SCDPT4!SCDPT4_5519999999_13+GMIC_22A_SCDPT4!SCDPT4_5529999999_13+GMIC_22A_SCDPT4!SCDPT4_5719999999_13+GMIC_22A_SCDPT4!SCDPT4_5729999999_13+GMIC_22A_SCDPT4!SCDPT4_5819999999_13+GMIC_22A_SCDPT4!SCDPT4_5919999999_13+GMIC_22A_SCDPT4!SCDPT4_5929999999_13</f>
        <v>0</v>
      </c>
      <c r="P412" s="3">
        <f>GMIC_22A_SCDPT4!SCDPT4_5019999999_14+GMIC_22A_SCDPT4!SCDPT4_5029999999_14+GMIC_22A_SCDPT4!SCDPT4_5319999999_14+GMIC_22A_SCDPT4!SCDPT4_5329999999_14+GMIC_22A_SCDPT4!SCDPT4_5519999999_14+GMIC_22A_SCDPT4!SCDPT4_5529999999_14+GMIC_22A_SCDPT4!SCDPT4_5719999999_14+GMIC_22A_SCDPT4!SCDPT4_5729999999_14+GMIC_22A_SCDPT4!SCDPT4_5819999999_14+GMIC_22A_SCDPT4!SCDPT4_5919999999_14+GMIC_22A_SCDPT4!SCDPT4_5929999999_14</f>
        <v>0</v>
      </c>
      <c r="Q412" s="3">
        <f>GMIC_22A_SCDPT4!SCDPT4_5019999999_15+GMIC_22A_SCDPT4!SCDPT4_5029999999_15+GMIC_22A_SCDPT4!SCDPT4_5319999999_15+GMIC_22A_SCDPT4!SCDPT4_5329999999_15+GMIC_22A_SCDPT4!SCDPT4_5519999999_15+GMIC_22A_SCDPT4!SCDPT4_5529999999_15+GMIC_22A_SCDPT4!SCDPT4_5719999999_15+GMIC_22A_SCDPT4!SCDPT4_5729999999_15+GMIC_22A_SCDPT4!SCDPT4_5819999999_15+GMIC_22A_SCDPT4!SCDPT4_5919999999_15+GMIC_22A_SCDPT4!SCDPT4_5929999999_15</f>
        <v>0</v>
      </c>
      <c r="R412" s="3">
        <f>GMIC_22A_SCDPT4!SCDPT4_5019999999_16+GMIC_22A_SCDPT4!SCDPT4_5029999999_16+GMIC_22A_SCDPT4!SCDPT4_5319999999_16+GMIC_22A_SCDPT4!SCDPT4_5329999999_16+GMIC_22A_SCDPT4!SCDPT4_5519999999_16+GMIC_22A_SCDPT4!SCDPT4_5529999999_16+GMIC_22A_SCDPT4!SCDPT4_5719999999_16+GMIC_22A_SCDPT4!SCDPT4_5729999999_16+GMIC_22A_SCDPT4!SCDPT4_5819999999_16+GMIC_22A_SCDPT4!SCDPT4_5919999999_16+GMIC_22A_SCDPT4!SCDPT4_5929999999_16</f>
        <v>0</v>
      </c>
      <c r="S412" s="3">
        <f>GMIC_22A_SCDPT4!SCDPT4_5019999999_17+GMIC_22A_SCDPT4!SCDPT4_5029999999_17+GMIC_22A_SCDPT4!SCDPT4_5319999999_17+GMIC_22A_SCDPT4!SCDPT4_5329999999_17+GMIC_22A_SCDPT4!SCDPT4_5519999999_17+GMIC_22A_SCDPT4!SCDPT4_5529999999_17+GMIC_22A_SCDPT4!SCDPT4_5719999999_17+GMIC_22A_SCDPT4!SCDPT4_5729999999_17+GMIC_22A_SCDPT4!SCDPT4_5819999999_17+GMIC_22A_SCDPT4!SCDPT4_5919999999_17+GMIC_22A_SCDPT4!SCDPT4_5929999999_17</f>
        <v>0</v>
      </c>
      <c r="T412" s="3">
        <f>GMIC_22A_SCDPT4!SCDPT4_5019999999_18+GMIC_22A_SCDPT4!SCDPT4_5029999999_18+GMIC_22A_SCDPT4!SCDPT4_5319999999_18+GMIC_22A_SCDPT4!SCDPT4_5329999999_18+GMIC_22A_SCDPT4!SCDPT4_5519999999_18+GMIC_22A_SCDPT4!SCDPT4_5529999999_18+GMIC_22A_SCDPT4!SCDPT4_5719999999_18+GMIC_22A_SCDPT4!SCDPT4_5729999999_18+GMIC_22A_SCDPT4!SCDPT4_5819999999_18+GMIC_22A_SCDPT4!SCDPT4_5919999999_18+GMIC_22A_SCDPT4!SCDPT4_5929999999_18</f>
        <v>0</v>
      </c>
      <c r="U412" s="3">
        <f>GMIC_22A_SCDPT4!SCDPT4_5019999999_19+GMIC_22A_SCDPT4!SCDPT4_5029999999_19+GMIC_22A_SCDPT4!SCDPT4_5319999999_19+GMIC_22A_SCDPT4!SCDPT4_5329999999_19+GMIC_22A_SCDPT4!SCDPT4_5519999999_19+GMIC_22A_SCDPT4!SCDPT4_5529999999_19+GMIC_22A_SCDPT4!SCDPT4_5719999999_19+GMIC_22A_SCDPT4!SCDPT4_5729999999_19+GMIC_22A_SCDPT4!SCDPT4_5819999999_19+GMIC_22A_SCDPT4!SCDPT4_5919999999_19+GMIC_22A_SCDPT4!SCDPT4_5929999999_19</f>
        <v>0</v>
      </c>
      <c r="V412" s="3">
        <f>GMIC_22A_SCDPT4!SCDPT4_5019999999_20+GMIC_22A_SCDPT4!SCDPT4_5029999999_20+GMIC_22A_SCDPT4!SCDPT4_5319999999_20+GMIC_22A_SCDPT4!SCDPT4_5329999999_20+GMIC_22A_SCDPT4!SCDPT4_5519999999_20+GMIC_22A_SCDPT4!SCDPT4_5529999999_20+GMIC_22A_SCDPT4!SCDPT4_5719999999_20+GMIC_22A_SCDPT4!SCDPT4_5729999999_20+GMIC_22A_SCDPT4!SCDPT4_5819999999_20+GMIC_22A_SCDPT4!SCDPT4_5919999999_20+GMIC_22A_SCDPT4!SCDPT4_5929999999_20</f>
        <v>0</v>
      </c>
      <c r="W412" s="2"/>
      <c r="X412" s="2"/>
      <c r="Y412" s="2"/>
      <c r="Z412" s="2"/>
      <c r="AA412" s="2"/>
      <c r="AB412" s="2"/>
      <c r="AC412" s="2"/>
    </row>
    <row r="413" spans="2:29" ht="28" x14ac:dyDescent="0.3">
      <c r="B413" s="19" t="s">
        <v>463</v>
      </c>
      <c r="C413" s="17" t="s">
        <v>212</v>
      </c>
      <c r="D413" s="16"/>
      <c r="E413" s="2"/>
      <c r="F413" s="2"/>
      <c r="G413" s="2"/>
      <c r="H413" s="2"/>
      <c r="I413" s="36"/>
      <c r="J413" s="2"/>
      <c r="K413" s="36"/>
      <c r="L413" s="4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2"/>
      <c r="X413" s="2"/>
      <c r="Y413" s="2"/>
      <c r="Z413" s="2"/>
      <c r="AA413" s="2"/>
      <c r="AB413" s="2"/>
      <c r="AC413" s="2"/>
    </row>
    <row r="414" spans="2:29" x14ac:dyDescent="0.3">
      <c r="B414" s="19" t="s">
        <v>1579</v>
      </c>
      <c r="C414" s="17" t="s">
        <v>4138</v>
      </c>
      <c r="D414" s="16"/>
      <c r="E414" s="2"/>
      <c r="F414" s="2"/>
      <c r="G414" s="2"/>
      <c r="H414" s="2"/>
      <c r="I414" s="3">
        <f>GMIC_22A_SCDPT4!SCDPT4_5989999997_7+GMIC_22A_SCDPT4!SCDPT4_5989999998_7</f>
        <v>0</v>
      </c>
      <c r="J414" s="2"/>
      <c r="K414" s="3">
        <f>GMIC_22A_SCDPT4!SCDPT4_5989999997_9+GMIC_22A_SCDPT4!SCDPT4_5989999998_9</f>
        <v>0</v>
      </c>
      <c r="L414" s="3">
        <f>GMIC_22A_SCDPT4!SCDPT4_5989999997_10+GMIC_22A_SCDPT4!SCDPT4_5989999998_10</f>
        <v>0</v>
      </c>
      <c r="M414" s="3">
        <f>GMIC_22A_SCDPT4!SCDPT4_5989999997_11+GMIC_22A_SCDPT4!SCDPT4_5989999998_11</f>
        <v>0</v>
      </c>
      <c r="N414" s="3">
        <f>GMIC_22A_SCDPT4!SCDPT4_5989999997_12+GMIC_22A_SCDPT4!SCDPT4_5989999998_12</f>
        <v>0</v>
      </c>
      <c r="O414" s="3">
        <f>GMIC_22A_SCDPT4!SCDPT4_5989999997_13+GMIC_22A_SCDPT4!SCDPT4_5989999998_13</f>
        <v>0</v>
      </c>
      <c r="P414" s="3">
        <f>GMIC_22A_SCDPT4!SCDPT4_5989999997_14+GMIC_22A_SCDPT4!SCDPT4_5989999998_14</f>
        <v>0</v>
      </c>
      <c r="Q414" s="3">
        <f>GMIC_22A_SCDPT4!SCDPT4_5989999997_15+GMIC_22A_SCDPT4!SCDPT4_5989999998_15</f>
        <v>0</v>
      </c>
      <c r="R414" s="3">
        <f>GMIC_22A_SCDPT4!SCDPT4_5989999997_16+GMIC_22A_SCDPT4!SCDPT4_5989999998_16</f>
        <v>0</v>
      </c>
      <c r="S414" s="3">
        <f>GMIC_22A_SCDPT4!SCDPT4_5989999997_17+GMIC_22A_SCDPT4!SCDPT4_5989999998_17</f>
        <v>0</v>
      </c>
      <c r="T414" s="3">
        <f>GMIC_22A_SCDPT4!SCDPT4_5989999997_18+GMIC_22A_SCDPT4!SCDPT4_5989999998_18</f>
        <v>0</v>
      </c>
      <c r="U414" s="3">
        <f>GMIC_22A_SCDPT4!SCDPT4_5989999997_19+GMIC_22A_SCDPT4!SCDPT4_5989999998_19</f>
        <v>0</v>
      </c>
      <c r="V414" s="3">
        <f>GMIC_22A_SCDPT4!SCDPT4_5989999997_20+GMIC_22A_SCDPT4!SCDPT4_5989999998_20</f>
        <v>0</v>
      </c>
      <c r="W414" s="2"/>
      <c r="X414" s="2"/>
      <c r="Y414" s="2"/>
      <c r="Z414" s="2"/>
      <c r="AA414" s="2"/>
      <c r="AB414" s="2"/>
      <c r="AC414" s="2"/>
    </row>
    <row r="415" spans="2:29" ht="28" x14ac:dyDescent="0.3">
      <c r="B415" s="19" t="s">
        <v>705</v>
      </c>
      <c r="C415" s="17" t="s">
        <v>1094</v>
      </c>
      <c r="D415" s="16"/>
      <c r="E415" s="2"/>
      <c r="F415" s="2"/>
      <c r="G415" s="2"/>
      <c r="H415" s="2"/>
      <c r="I415" s="3">
        <f>GMIC_22A_SCDPT4!SCDPT4_4509999999_7+GMIC_22A_SCDPT4!SCDPT4_5989999999_7</f>
        <v>0</v>
      </c>
      <c r="J415" s="2"/>
      <c r="K415" s="3">
        <f>GMIC_22A_SCDPT4!SCDPT4_4509999999_9+GMIC_22A_SCDPT4!SCDPT4_5989999999_9</f>
        <v>0</v>
      </c>
      <c r="L415" s="3">
        <f>GMIC_22A_SCDPT4!SCDPT4_4509999999_10+GMIC_22A_SCDPT4!SCDPT4_5989999999_10</f>
        <v>0</v>
      </c>
      <c r="M415" s="3">
        <f>GMIC_22A_SCDPT4!SCDPT4_4509999999_11+GMIC_22A_SCDPT4!SCDPT4_5989999999_11</f>
        <v>0</v>
      </c>
      <c r="N415" s="3">
        <f>GMIC_22A_SCDPT4!SCDPT4_4509999999_12+GMIC_22A_SCDPT4!SCDPT4_5989999999_12</f>
        <v>0</v>
      </c>
      <c r="O415" s="3">
        <f>GMIC_22A_SCDPT4!SCDPT4_4509999999_13+GMIC_22A_SCDPT4!SCDPT4_5989999999_13</f>
        <v>0</v>
      </c>
      <c r="P415" s="3">
        <f>GMIC_22A_SCDPT4!SCDPT4_4509999999_14+GMIC_22A_SCDPT4!SCDPT4_5989999999_14</f>
        <v>0</v>
      </c>
      <c r="Q415" s="3">
        <f>GMIC_22A_SCDPT4!SCDPT4_4509999999_15+GMIC_22A_SCDPT4!SCDPT4_5989999999_15</f>
        <v>0</v>
      </c>
      <c r="R415" s="3">
        <f>GMIC_22A_SCDPT4!SCDPT4_4509999999_16+GMIC_22A_SCDPT4!SCDPT4_5989999999_16</f>
        <v>0</v>
      </c>
      <c r="S415" s="3">
        <f>GMIC_22A_SCDPT4!SCDPT4_4509999999_17+GMIC_22A_SCDPT4!SCDPT4_5989999999_17</f>
        <v>0</v>
      </c>
      <c r="T415" s="3">
        <f>GMIC_22A_SCDPT4!SCDPT4_4509999999_18+GMIC_22A_SCDPT4!SCDPT4_5989999999_18</f>
        <v>0</v>
      </c>
      <c r="U415" s="3">
        <f>GMIC_22A_SCDPT4!SCDPT4_4509999999_19+GMIC_22A_SCDPT4!SCDPT4_5989999999_19</f>
        <v>0</v>
      </c>
      <c r="V415" s="3">
        <f>GMIC_22A_SCDPT4!SCDPT4_4509999999_20+GMIC_22A_SCDPT4!SCDPT4_5989999999_20</f>
        <v>0</v>
      </c>
      <c r="W415" s="2"/>
      <c r="X415" s="2"/>
      <c r="Y415" s="2"/>
      <c r="Z415" s="2"/>
      <c r="AA415" s="2"/>
      <c r="AB415" s="2"/>
      <c r="AC415" s="2"/>
    </row>
    <row r="416" spans="2:29" x14ac:dyDescent="0.3">
      <c r="B416" s="61" t="s">
        <v>1095</v>
      </c>
      <c r="C416" s="56" t="s">
        <v>464</v>
      </c>
      <c r="D416" s="65"/>
      <c r="E416" s="27"/>
      <c r="F416" s="27"/>
      <c r="G416" s="27"/>
      <c r="H416" s="27"/>
      <c r="I416" s="30">
        <f>GMIC_22A_SCDPT4!SCDPT4_2509999999_7+GMIC_22A_SCDPT4!SCDPT4_4509999999_7+GMIC_22A_SCDPT4!SCDPT4_5989999999_7</f>
        <v>1042326383</v>
      </c>
      <c r="J416" s="27"/>
      <c r="K416" s="30">
        <f>GMIC_22A_SCDPT4!SCDPT4_2509999999_9+GMIC_22A_SCDPT4!SCDPT4_4509999999_9+GMIC_22A_SCDPT4!SCDPT4_5989999999_9</f>
        <v>1038092891</v>
      </c>
      <c r="L416" s="30">
        <f>GMIC_22A_SCDPT4!SCDPT4_2509999999_10+GMIC_22A_SCDPT4!SCDPT4_4509999999_10+GMIC_22A_SCDPT4!SCDPT4_5989999999_10</f>
        <v>1015835431</v>
      </c>
      <c r="M416" s="30">
        <f>GMIC_22A_SCDPT4!SCDPT4_2509999999_11+GMIC_22A_SCDPT4!SCDPT4_4509999999_11+GMIC_22A_SCDPT4!SCDPT4_5989999999_11</f>
        <v>10238</v>
      </c>
      <c r="N416" s="30">
        <f>GMIC_22A_SCDPT4!SCDPT4_2509999999_12+GMIC_22A_SCDPT4!SCDPT4_4509999999_12+GMIC_22A_SCDPT4!SCDPT4_5989999999_12</f>
        <v>511120</v>
      </c>
      <c r="O416" s="30">
        <f>GMIC_22A_SCDPT4!SCDPT4_2509999999_13+GMIC_22A_SCDPT4!SCDPT4_4509999999_13+GMIC_22A_SCDPT4!SCDPT4_5989999999_13</f>
        <v>0</v>
      </c>
      <c r="P416" s="30">
        <f>GMIC_22A_SCDPT4!SCDPT4_2509999999_14+GMIC_22A_SCDPT4!SCDPT4_4509999999_14+GMIC_22A_SCDPT4!SCDPT4_5989999999_14</f>
        <v>521358</v>
      </c>
      <c r="Q416" s="30">
        <f>GMIC_22A_SCDPT4!SCDPT4_2509999999_15+GMIC_22A_SCDPT4!SCDPT4_4509999999_15+GMIC_22A_SCDPT4!SCDPT4_5989999999_15</f>
        <v>0</v>
      </c>
      <c r="R416" s="30">
        <f>GMIC_22A_SCDPT4!SCDPT4_2509999999_16+GMIC_22A_SCDPT4!SCDPT4_4509999999_16+GMIC_22A_SCDPT4!SCDPT4_5989999999_16</f>
        <v>1042984623</v>
      </c>
      <c r="S416" s="30">
        <f>GMIC_22A_SCDPT4!SCDPT4_2509999999_17+GMIC_22A_SCDPT4!SCDPT4_4509999999_17+GMIC_22A_SCDPT4!SCDPT4_5989999999_17</f>
        <v>0</v>
      </c>
      <c r="T416" s="30">
        <f>GMIC_22A_SCDPT4!SCDPT4_2509999999_18+GMIC_22A_SCDPT4!SCDPT4_4509999999_18+GMIC_22A_SCDPT4!SCDPT4_5989999999_18</f>
        <v>-2131225</v>
      </c>
      <c r="U416" s="30">
        <f>GMIC_22A_SCDPT4!SCDPT4_2509999999_19+GMIC_22A_SCDPT4!SCDPT4_4509999999_19+GMIC_22A_SCDPT4!SCDPT4_5989999999_19</f>
        <v>-2131225</v>
      </c>
      <c r="V416" s="30">
        <f>GMIC_22A_SCDPT4!SCDPT4_2509999999_20+GMIC_22A_SCDPT4!SCDPT4_4509999999_20+GMIC_22A_SCDPT4!SCDPT4_5989999999_20</f>
        <v>24364512</v>
      </c>
      <c r="W416" s="27"/>
      <c r="X416" s="27"/>
      <c r="Y416" s="27"/>
      <c r="Z416" s="27"/>
      <c r="AA416" s="27"/>
      <c r="AB416" s="27"/>
      <c r="AC416" s="27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&amp;CSCDPT4SCDPT4</oddHeader>
    <oddFooter>&amp;LWing Application : &amp;R SaveAs(3/3/2023-8:37 AM)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C134"/>
  <sheetViews>
    <sheetView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6" width="10.75" customWidth="1"/>
    <col min="7" max="7" width="25.75" customWidth="1"/>
    <col min="8" max="8" width="10.75" customWidth="1"/>
    <col min="9" max="9" width="25.75" customWidth="1"/>
    <col min="10" max="23" width="14.75" customWidth="1"/>
    <col min="24" max="24" width="10.75" customWidth="1"/>
    <col min="25" max="25" width="20.75" customWidth="1"/>
    <col min="26" max="27" width="25.75" customWidth="1"/>
    <col min="28" max="28" width="10.75" customWidth="1"/>
    <col min="29" max="29" width="25.75" customWidth="1"/>
  </cols>
  <sheetData>
    <row r="1" spans="2:29" x14ac:dyDescent="0.3">
      <c r="C1" s="35" t="s">
        <v>1614</v>
      </c>
      <c r="D1" s="35" t="s">
        <v>1158</v>
      </c>
      <c r="E1" s="35" t="s">
        <v>1615</v>
      </c>
      <c r="F1" s="35" t="s">
        <v>264</v>
      </c>
    </row>
    <row r="2" spans="2:29" ht="20" x14ac:dyDescent="0.3">
      <c r="B2" s="57"/>
      <c r="C2" s="44" t="str">
        <f>GMIC_22A_SCDPT1!Wings_Company_ID</f>
        <v>GMIC</v>
      </c>
      <c r="D2" s="44" t="str">
        <f>GMIC_22A_SCDPT1!Wings_Statement_ID</f>
        <v>22A</v>
      </c>
      <c r="E2" s="42" t="s">
        <v>1904</v>
      </c>
      <c r="F2" s="42" t="s">
        <v>1905</v>
      </c>
    </row>
    <row r="3" spans="2:29" ht="40" customHeight="1" x14ac:dyDescent="0.3">
      <c r="B3" s="62" t="s">
        <v>265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2:29" ht="40" customHeight="1" x14ac:dyDescent="0.4">
      <c r="B4" s="63" t="s">
        <v>4172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2:29" x14ac:dyDescent="0.3">
      <c r="B5" s="59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  <c r="O5" s="12">
        <v>13</v>
      </c>
      <c r="P5" s="12">
        <v>14</v>
      </c>
      <c r="Q5" s="12">
        <v>15</v>
      </c>
      <c r="R5" s="12">
        <v>16</v>
      </c>
      <c r="S5" s="12">
        <v>17</v>
      </c>
      <c r="T5" s="12">
        <v>18</v>
      </c>
      <c r="U5" s="12">
        <v>19</v>
      </c>
      <c r="V5" s="12">
        <v>20</v>
      </c>
      <c r="W5" s="12">
        <v>21</v>
      </c>
      <c r="X5" s="12">
        <v>22</v>
      </c>
      <c r="Y5" s="12">
        <v>23</v>
      </c>
      <c r="Z5" s="12">
        <v>24</v>
      </c>
      <c r="AA5" s="12">
        <v>25</v>
      </c>
      <c r="AB5" s="12">
        <v>26</v>
      </c>
      <c r="AC5" s="12">
        <v>27</v>
      </c>
    </row>
    <row r="6" spans="2:29" ht="46.5" x14ac:dyDescent="0.3">
      <c r="B6" s="58"/>
      <c r="C6" s="13" t="s">
        <v>2733</v>
      </c>
      <c r="D6" s="13" t="s">
        <v>1912</v>
      </c>
      <c r="E6" s="13" t="s">
        <v>3405</v>
      </c>
      <c r="F6" s="13" t="s">
        <v>2530</v>
      </c>
      <c r="G6" s="13" t="s">
        <v>1055</v>
      </c>
      <c r="H6" s="13" t="s">
        <v>2213</v>
      </c>
      <c r="I6" s="13" t="s">
        <v>4139</v>
      </c>
      <c r="J6" s="13" t="s">
        <v>4534</v>
      </c>
      <c r="K6" s="13" t="s">
        <v>1401</v>
      </c>
      <c r="L6" s="13" t="s">
        <v>2214</v>
      </c>
      <c r="M6" s="13" t="s">
        <v>2263</v>
      </c>
      <c r="N6" s="13" t="s">
        <v>781</v>
      </c>
      <c r="O6" s="13" t="s">
        <v>2528</v>
      </c>
      <c r="P6" s="13" t="s">
        <v>2743</v>
      </c>
      <c r="Q6" s="13" t="s">
        <v>1396</v>
      </c>
      <c r="R6" s="13" t="s">
        <v>1</v>
      </c>
      <c r="S6" s="13" t="s">
        <v>3002</v>
      </c>
      <c r="T6" s="13" t="s">
        <v>728</v>
      </c>
      <c r="U6" s="13" t="s">
        <v>729</v>
      </c>
      <c r="V6" s="13" t="s">
        <v>3399</v>
      </c>
      <c r="W6" s="13" t="s">
        <v>1056</v>
      </c>
      <c r="X6" s="13" t="s">
        <v>503</v>
      </c>
      <c r="Y6" s="13" t="s">
        <v>3407</v>
      </c>
      <c r="Z6" s="13" t="s">
        <v>3050</v>
      </c>
      <c r="AA6" s="13" t="s">
        <v>504</v>
      </c>
      <c r="AB6" s="13" t="s">
        <v>2531</v>
      </c>
      <c r="AC6" s="13" t="s">
        <v>1159</v>
      </c>
    </row>
    <row r="7" spans="2:29" x14ac:dyDescent="0.3">
      <c r="B7" s="7" t="s">
        <v>2744</v>
      </c>
      <c r="C7" s="1" t="s">
        <v>2744</v>
      </c>
      <c r="D7" s="8" t="s">
        <v>2744</v>
      </c>
      <c r="E7" s="1" t="s">
        <v>2744</v>
      </c>
      <c r="F7" s="1" t="s">
        <v>2744</v>
      </c>
      <c r="G7" s="1" t="s">
        <v>2744</v>
      </c>
      <c r="H7" s="1" t="s">
        <v>2744</v>
      </c>
      <c r="I7" s="1" t="s">
        <v>2744</v>
      </c>
      <c r="J7" s="1" t="s">
        <v>2744</v>
      </c>
      <c r="K7" s="1" t="s">
        <v>2744</v>
      </c>
      <c r="L7" s="1" t="s">
        <v>2744</v>
      </c>
      <c r="M7" s="1" t="s">
        <v>2744</v>
      </c>
      <c r="N7" s="1" t="s">
        <v>2744</v>
      </c>
      <c r="O7" s="1" t="s">
        <v>2744</v>
      </c>
      <c r="P7" s="1" t="s">
        <v>2744</v>
      </c>
      <c r="Q7" s="1" t="s">
        <v>2744</v>
      </c>
      <c r="R7" s="1" t="s">
        <v>2744</v>
      </c>
      <c r="S7" s="1" t="s">
        <v>2744</v>
      </c>
      <c r="T7" s="1" t="s">
        <v>2744</v>
      </c>
      <c r="U7" s="1" t="s">
        <v>2744</v>
      </c>
      <c r="V7" s="1" t="s">
        <v>2744</v>
      </c>
      <c r="W7" s="1" t="s">
        <v>2744</v>
      </c>
      <c r="X7" s="1" t="s">
        <v>2744</v>
      </c>
      <c r="Y7" s="1" t="s">
        <v>2744</v>
      </c>
      <c r="Z7" s="1" t="s">
        <v>2744</v>
      </c>
      <c r="AA7" s="1" t="s">
        <v>2744</v>
      </c>
      <c r="AB7" s="1" t="s">
        <v>2744</v>
      </c>
      <c r="AC7" s="1" t="s">
        <v>2744</v>
      </c>
    </row>
    <row r="8" spans="2:29" x14ac:dyDescent="0.3">
      <c r="B8" s="18" t="s">
        <v>2175</v>
      </c>
      <c r="C8" s="25" t="s">
        <v>3897</v>
      </c>
      <c r="D8" s="15" t="s">
        <v>2</v>
      </c>
      <c r="E8" s="20" t="s">
        <v>2</v>
      </c>
      <c r="F8" s="6"/>
      <c r="G8" s="5" t="s">
        <v>2</v>
      </c>
      <c r="H8" s="6"/>
      <c r="I8" s="5" t="s">
        <v>2</v>
      </c>
      <c r="J8" s="4"/>
      <c r="K8" s="4"/>
      <c r="L8" s="4"/>
      <c r="M8" s="4"/>
      <c r="N8" s="4"/>
      <c r="O8" s="4"/>
      <c r="P8" s="4"/>
      <c r="Q8" s="24"/>
      <c r="R8" s="4"/>
      <c r="S8" s="4"/>
      <c r="T8" s="4"/>
      <c r="U8" s="24"/>
      <c r="V8" s="4"/>
      <c r="W8" s="4"/>
      <c r="X8" s="2"/>
      <c r="Y8" s="5" t="s">
        <v>2</v>
      </c>
      <c r="Z8" s="5" t="s">
        <v>2</v>
      </c>
      <c r="AA8" s="5" t="s">
        <v>2</v>
      </c>
      <c r="AB8" s="21" t="s">
        <v>2</v>
      </c>
      <c r="AC8" s="26" t="s">
        <v>2</v>
      </c>
    </row>
    <row r="9" spans="2:29" x14ac:dyDescent="0.3">
      <c r="B9" s="7" t="s">
        <v>2744</v>
      </c>
      <c r="C9" s="1" t="s">
        <v>2744</v>
      </c>
      <c r="D9" s="8" t="s">
        <v>2744</v>
      </c>
      <c r="E9" s="1" t="s">
        <v>2744</v>
      </c>
      <c r="F9" s="1" t="s">
        <v>2744</v>
      </c>
      <c r="G9" s="1" t="s">
        <v>2744</v>
      </c>
      <c r="H9" s="1" t="s">
        <v>2744</v>
      </c>
      <c r="I9" s="1" t="s">
        <v>2744</v>
      </c>
      <c r="J9" s="1" t="s">
        <v>2744</v>
      </c>
      <c r="K9" s="1" t="s">
        <v>2744</v>
      </c>
      <c r="L9" s="1" t="s">
        <v>2744</v>
      </c>
      <c r="M9" s="1" t="s">
        <v>2744</v>
      </c>
      <c r="N9" s="1" t="s">
        <v>2744</v>
      </c>
      <c r="O9" s="1" t="s">
        <v>2744</v>
      </c>
      <c r="P9" s="1" t="s">
        <v>2744</v>
      </c>
      <c r="Q9" s="1" t="s">
        <v>2744</v>
      </c>
      <c r="R9" s="1" t="s">
        <v>2744</v>
      </c>
      <c r="S9" s="1" t="s">
        <v>2744</v>
      </c>
      <c r="T9" s="1" t="s">
        <v>2744</v>
      </c>
      <c r="U9" s="1" t="s">
        <v>2744</v>
      </c>
      <c r="V9" s="1" t="s">
        <v>2744</v>
      </c>
      <c r="W9" s="1" t="s">
        <v>2744</v>
      </c>
      <c r="X9" s="1" t="s">
        <v>2744</v>
      </c>
      <c r="Y9" s="1" t="s">
        <v>2744</v>
      </c>
      <c r="Z9" s="1" t="s">
        <v>2744</v>
      </c>
      <c r="AA9" s="1" t="s">
        <v>2744</v>
      </c>
      <c r="AB9" s="1" t="s">
        <v>2744</v>
      </c>
      <c r="AC9" s="1" t="s">
        <v>2744</v>
      </c>
    </row>
    <row r="10" spans="2:29" ht="28" x14ac:dyDescent="0.3">
      <c r="B10" s="19" t="s">
        <v>2747</v>
      </c>
      <c r="C10" s="17" t="s">
        <v>2977</v>
      </c>
      <c r="D10" s="16"/>
      <c r="E10" s="2"/>
      <c r="F10" s="29"/>
      <c r="G10" s="2"/>
      <c r="H10" s="29"/>
      <c r="I10" s="2"/>
      <c r="J10" s="3">
        <f>SUM(GMIC_22A_SCDPT5!SCDPT5_010BEGINNG_8:GMIC_22A_SCDPT5!SCDPT5_010ENDINGG_8)</f>
        <v>0</v>
      </c>
      <c r="K10" s="3">
        <f>SUM(GMIC_22A_SCDPT5!SCDPT5_010BEGINNG_9:GMIC_22A_SCDPT5!SCDPT5_010ENDINGG_9)</f>
        <v>0</v>
      </c>
      <c r="L10" s="3">
        <f>SUM(GMIC_22A_SCDPT5!SCDPT5_010BEGINNG_10:GMIC_22A_SCDPT5!SCDPT5_010ENDINGG_10)</f>
        <v>0</v>
      </c>
      <c r="M10" s="3">
        <f>SUM(GMIC_22A_SCDPT5!SCDPT5_010BEGINNG_11:GMIC_22A_SCDPT5!SCDPT5_010ENDINGG_11)</f>
        <v>0</v>
      </c>
      <c r="N10" s="3">
        <f>SUM(GMIC_22A_SCDPT5!SCDPT5_010BEGINNG_12:GMIC_22A_SCDPT5!SCDPT5_010ENDINGG_12)</f>
        <v>0</v>
      </c>
      <c r="O10" s="3">
        <f>SUM(GMIC_22A_SCDPT5!SCDPT5_010BEGINNG_13:GMIC_22A_SCDPT5!SCDPT5_010ENDINGG_13)</f>
        <v>0</v>
      </c>
      <c r="P10" s="3">
        <f>SUM(GMIC_22A_SCDPT5!SCDPT5_010BEGINNG_14:GMIC_22A_SCDPT5!SCDPT5_010ENDINGG_14)</f>
        <v>0</v>
      </c>
      <c r="Q10" s="3">
        <f>SUM(GMIC_22A_SCDPT5!SCDPT5_010BEGINNG_15:GMIC_22A_SCDPT5!SCDPT5_010ENDINGG_15)</f>
        <v>0</v>
      </c>
      <c r="R10" s="3">
        <f>SUM(GMIC_22A_SCDPT5!SCDPT5_010BEGINNG_16:GMIC_22A_SCDPT5!SCDPT5_010ENDINGG_16)</f>
        <v>0</v>
      </c>
      <c r="S10" s="3">
        <f>SUM(GMIC_22A_SCDPT5!SCDPT5_010BEGINNG_17:GMIC_22A_SCDPT5!SCDPT5_010ENDINGG_17)</f>
        <v>0</v>
      </c>
      <c r="T10" s="3">
        <f>SUM(GMIC_22A_SCDPT5!SCDPT5_010BEGINNG_18:GMIC_22A_SCDPT5!SCDPT5_010ENDINGG_18)</f>
        <v>0</v>
      </c>
      <c r="U10" s="3">
        <f>SUM(GMIC_22A_SCDPT5!SCDPT5_010BEGINNG_19:GMIC_22A_SCDPT5!SCDPT5_010ENDINGG_19)</f>
        <v>0</v>
      </c>
      <c r="V10" s="3">
        <f>SUM(GMIC_22A_SCDPT5!SCDPT5_010BEGINNG_20:GMIC_22A_SCDPT5!SCDPT5_010ENDINGG_20)</f>
        <v>0</v>
      </c>
      <c r="W10" s="3">
        <f>SUM(GMIC_22A_SCDPT5!SCDPT5_010BEGINNG_21:GMIC_22A_SCDPT5!SCDPT5_010ENDINGG_21)</f>
        <v>0</v>
      </c>
      <c r="X10" s="2"/>
      <c r="Y10" s="2"/>
      <c r="Z10" s="2"/>
      <c r="AA10" s="2"/>
      <c r="AB10" s="2"/>
      <c r="AC10" s="2"/>
    </row>
    <row r="11" spans="2:29" x14ac:dyDescent="0.3">
      <c r="B11" s="7" t="s">
        <v>2744</v>
      </c>
      <c r="C11" s="1" t="s">
        <v>2744</v>
      </c>
      <c r="D11" s="8" t="s">
        <v>2744</v>
      </c>
      <c r="E11" s="1" t="s">
        <v>2744</v>
      </c>
      <c r="F11" s="1" t="s">
        <v>2744</v>
      </c>
      <c r="G11" s="1" t="s">
        <v>2744</v>
      </c>
      <c r="H11" s="1" t="s">
        <v>2744</v>
      </c>
      <c r="I11" s="1" t="s">
        <v>2744</v>
      </c>
      <c r="J11" s="1" t="s">
        <v>2744</v>
      </c>
      <c r="K11" s="1" t="s">
        <v>2744</v>
      </c>
      <c r="L11" s="1" t="s">
        <v>2744</v>
      </c>
      <c r="M11" s="1" t="s">
        <v>2744</v>
      </c>
      <c r="N11" s="1" t="s">
        <v>2744</v>
      </c>
      <c r="O11" s="1" t="s">
        <v>2744</v>
      </c>
      <c r="P11" s="1" t="s">
        <v>2744</v>
      </c>
      <c r="Q11" s="1" t="s">
        <v>2744</v>
      </c>
      <c r="R11" s="1" t="s">
        <v>2744</v>
      </c>
      <c r="S11" s="1" t="s">
        <v>2744</v>
      </c>
      <c r="T11" s="1" t="s">
        <v>2744</v>
      </c>
      <c r="U11" s="1" t="s">
        <v>2744</v>
      </c>
      <c r="V11" s="1" t="s">
        <v>2744</v>
      </c>
      <c r="W11" s="1" t="s">
        <v>2744</v>
      </c>
      <c r="X11" s="1" t="s">
        <v>2744</v>
      </c>
      <c r="Y11" s="1" t="s">
        <v>2744</v>
      </c>
      <c r="Z11" s="1" t="s">
        <v>2744</v>
      </c>
      <c r="AA11" s="1" t="s">
        <v>2744</v>
      </c>
      <c r="AB11" s="1" t="s">
        <v>2744</v>
      </c>
      <c r="AC11" s="1" t="s">
        <v>2744</v>
      </c>
    </row>
    <row r="12" spans="2:29" x14ac:dyDescent="0.3">
      <c r="B12" s="18" t="s">
        <v>2692</v>
      </c>
      <c r="C12" s="25" t="s">
        <v>3897</v>
      </c>
      <c r="D12" s="15" t="s">
        <v>2</v>
      </c>
      <c r="E12" s="20" t="s">
        <v>2</v>
      </c>
      <c r="F12" s="10"/>
      <c r="G12" s="5" t="s">
        <v>2</v>
      </c>
      <c r="H12" s="10"/>
      <c r="I12" s="5" t="s">
        <v>2</v>
      </c>
      <c r="J12" s="4"/>
      <c r="K12" s="4"/>
      <c r="L12" s="4"/>
      <c r="M12" s="4"/>
      <c r="N12" s="4"/>
      <c r="O12" s="4"/>
      <c r="P12" s="4"/>
      <c r="Q12" s="24"/>
      <c r="R12" s="4"/>
      <c r="S12" s="4"/>
      <c r="T12" s="4"/>
      <c r="U12" s="24"/>
      <c r="V12" s="4"/>
      <c r="W12" s="4"/>
      <c r="X12" s="2"/>
      <c r="Y12" s="5" t="s">
        <v>2</v>
      </c>
      <c r="Z12" s="5" t="s">
        <v>2</v>
      </c>
      <c r="AA12" s="5" t="s">
        <v>2</v>
      </c>
      <c r="AB12" s="21" t="s">
        <v>2</v>
      </c>
      <c r="AC12" s="26" t="s">
        <v>2</v>
      </c>
    </row>
    <row r="13" spans="2:29" x14ac:dyDescent="0.3">
      <c r="B13" s="7" t="s">
        <v>2744</v>
      </c>
      <c r="C13" s="1" t="s">
        <v>2744</v>
      </c>
      <c r="D13" s="8" t="s">
        <v>2744</v>
      </c>
      <c r="E13" s="1" t="s">
        <v>2744</v>
      </c>
      <c r="F13" s="22" t="s">
        <v>2744</v>
      </c>
      <c r="G13" s="1" t="s">
        <v>2744</v>
      </c>
      <c r="H13" s="22" t="s">
        <v>2744</v>
      </c>
      <c r="I13" s="1" t="s">
        <v>2744</v>
      </c>
      <c r="J13" s="1" t="s">
        <v>2744</v>
      </c>
      <c r="K13" s="1" t="s">
        <v>2744</v>
      </c>
      <c r="L13" s="1" t="s">
        <v>2744</v>
      </c>
      <c r="M13" s="1" t="s">
        <v>2744</v>
      </c>
      <c r="N13" s="1" t="s">
        <v>2744</v>
      </c>
      <c r="O13" s="1" t="s">
        <v>2744</v>
      </c>
      <c r="P13" s="1" t="s">
        <v>2744</v>
      </c>
      <c r="Q13" s="1" t="s">
        <v>2744</v>
      </c>
      <c r="R13" s="1" t="s">
        <v>2744</v>
      </c>
      <c r="S13" s="1" t="s">
        <v>2744</v>
      </c>
      <c r="T13" s="1" t="s">
        <v>2744</v>
      </c>
      <c r="U13" s="1" t="s">
        <v>2744</v>
      </c>
      <c r="V13" s="1" t="s">
        <v>2744</v>
      </c>
      <c r="W13" s="1" t="s">
        <v>2744</v>
      </c>
      <c r="X13" s="1" t="s">
        <v>2744</v>
      </c>
      <c r="Y13" s="1" t="s">
        <v>2744</v>
      </c>
      <c r="Z13" s="1" t="s">
        <v>2744</v>
      </c>
      <c r="AA13" s="1" t="s">
        <v>2744</v>
      </c>
      <c r="AB13" s="1" t="s">
        <v>2744</v>
      </c>
      <c r="AC13" s="1" t="s">
        <v>2744</v>
      </c>
    </row>
    <row r="14" spans="2:29" ht="28" x14ac:dyDescent="0.3">
      <c r="B14" s="19" t="s">
        <v>3412</v>
      </c>
      <c r="C14" s="17" t="s">
        <v>2176</v>
      </c>
      <c r="D14" s="16"/>
      <c r="E14" s="2"/>
      <c r="F14" s="29"/>
      <c r="G14" s="2"/>
      <c r="H14" s="29"/>
      <c r="I14" s="2"/>
      <c r="J14" s="3">
        <f>SUM(GMIC_22A_SCDPT5!SCDPT5_030BEGINNG_8:GMIC_22A_SCDPT5!SCDPT5_030ENDINGG_8)</f>
        <v>0</v>
      </c>
      <c r="K14" s="3">
        <f>SUM(GMIC_22A_SCDPT5!SCDPT5_030BEGINNG_9:GMIC_22A_SCDPT5!SCDPT5_030ENDINGG_9)</f>
        <v>0</v>
      </c>
      <c r="L14" s="3">
        <f>SUM(GMIC_22A_SCDPT5!SCDPT5_030BEGINNG_10:GMIC_22A_SCDPT5!SCDPT5_030ENDINGG_10)</f>
        <v>0</v>
      </c>
      <c r="M14" s="3">
        <f>SUM(GMIC_22A_SCDPT5!SCDPT5_030BEGINNG_11:GMIC_22A_SCDPT5!SCDPT5_030ENDINGG_11)</f>
        <v>0</v>
      </c>
      <c r="N14" s="3">
        <f>SUM(GMIC_22A_SCDPT5!SCDPT5_030BEGINNG_12:GMIC_22A_SCDPT5!SCDPT5_030ENDINGG_12)</f>
        <v>0</v>
      </c>
      <c r="O14" s="3">
        <f>SUM(GMIC_22A_SCDPT5!SCDPT5_030BEGINNG_13:GMIC_22A_SCDPT5!SCDPT5_030ENDINGG_13)</f>
        <v>0</v>
      </c>
      <c r="P14" s="3">
        <f>SUM(GMIC_22A_SCDPT5!SCDPT5_030BEGINNG_14:GMIC_22A_SCDPT5!SCDPT5_030ENDINGG_14)</f>
        <v>0</v>
      </c>
      <c r="Q14" s="3">
        <f>SUM(GMIC_22A_SCDPT5!SCDPT5_030BEGINNG_15:GMIC_22A_SCDPT5!SCDPT5_030ENDINGG_15)</f>
        <v>0</v>
      </c>
      <c r="R14" s="3">
        <f>SUM(GMIC_22A_SCDPT5!SCDPT5_030BEGINNG_16:GMIC_22A_SCDPT5!SCDPT5_030ENDINGG_16)</f>
        <v>0</v>
      </c>
      <c r="S14" s="3">
        <f>SUM(GMIC_22A_SCDPT5!SCDPT5_030BEGINNG_17:GMIC_22A_SCDPT5!SCDPT5_030ENDINGG_17)</f>
        <v>0</v>
      </c>
      <c r="T14" s="3">
        <f>SUM(GMIC_22A_SCDPT5!SCDPT5_030BEGINNG_18:GMIC_22A_SCDPT5!SCDPT5_030ENDINGG_18)</f>
        <v>0</v>
      </c>
      <c r="U14" s="3">
        <f>SUM(GMIC_22A_SCDPT5!SCDPT5_030BEGINNG_19:GMIC_22A_SCDPT5!SCDPT5_030ENDINGG_19)</f>
        <v>0</v>
      </c>
      <c r="V14" s="3">
        <f>SUM(GMIC_22A_SCDPT5!SCDPT5_030BEGINNG_20:GMIC_22A_SCDPT5!SCDPT5_030ENDINGG_20)</f>
        <v>0</v>
      </c>
      <c r="W14" s="3">
        <f>SUM(GMIC_22A_SCDPT5!SCDPT5_030BEGINNG_21:GMIC_22A_SCDPT5!SCDPT5_030ENDINGG_21)</f>
        <v>0</v>
      </c>
      <c r="X14" s="2"/>
      <c r="Y14" s="2"/>
      <c r="Z14" s="2"/>
      <c r="AA14" s="2"/>
      <c r="AB14" s="2"/>
      <c r="AC14" s="2"/>
    </row>
    <row r="15" spans="2:29" x14ac:dyDescent="0.3">
      <c r="B15" s="7" t="s">
        <v>2744</v>
      </c>
      <c r="C15" s="1" t="s">
        <v>2744</v>
      </c>
      <c r="D15" s="8" t="s">
        <v>2744</v>
      </c>
      <c r="E15" s="1" t="s">
        <v>2744</v>
      </c>
      <c r="F15" s="22" t="s">
        <v>2744</v>
      </c>
      <c r="G15" s="1" t="s">
        <v>2744</v>
      </c>
      <c r="H15" s="22" t="s">
        <v>2744</v>
      </c>
      <c r="I15" s="1" t="s">
        <v>2744</v>
      </c>
      <c r="J15" s="1" t="s">
        <v>2744</v>
      </c>
      <c r="K15" s="1" t="s">
        <v>2744</v>
      </c>
      <c r="L15" s="1" t="s">
        <v>2744</v>
      </c>
      <c r="M15" s="1" t="s">
        <v>2744</v>
      </c>
      <c r="N15" s="1" t="s">
        <v>2744</v>
      </c>
      <c r="O15" s="1" t="s">
        <v>2744</v>
      </c>
      <c r="P15" s="1" t="s">
        <v>2744</v>
      </c>
      <c r="Q15" s="1" t="s">
        <v>2744</v>
      </c>
      <c r="R15" s="1" t="s">
        <v>2744</v>
      </c>
      <c r="S15" s="1" t="s">
        <v>2744</v>
      </c>
      <c r="T15" s="1" t="s">
        <v>2744</v>
      </c>
      <c r="U15" s="1" t="s">
        <v>2744</v>
      </c>
      <c r="V15" s="1" t="s">
        <v>2744</v>
      </c>
      <c r="W15" s="1" t="s">
        <v>2744</v>
      </c>
      <c r="X15" s="1" t="s">
        <v>2744</v>
      </c>
      <c r="Y15" s="1" t="s">
        <v>2744</v>
      </c>
      <c r="Z15" s="1" t="s">
        <v>2744</v>
      </c>
      <c r="AA15" s="1" t="s">
        <v>2744</v>
      </c>
      <c r="AB15" s="1" t="s">
        <v>2744</v>
      </c>
      <c r="AC15" s="1" t="s">
        <v>2744</v>
      </c>
    </row>
    <row r="16" spans="2:29" x14ac:dyDescent="0.3">
      <c r="B16" s="18" t="s">
        <v>3308</v>
      </c>
      <c r="C16" s="25" t="s">
        <v>3897</v>
      </c>
      <c r="D16" s="15" t="s">
        <v>2</v>
      </c>
      <c r="E16" s="20" t="s">
        <v>2</v>
      </c>
      <c r="F16" s="10"/>
      <c r="G16" s="5" t="s">
        <v>2</v>
      </c>
      <c r="H16" s="10"/>
      <c r="I16" s="5" t="s">
        <v>2</v>
      </c>
      <c r="J16" s="4"/>
      <c r="K16" s="4"/>
      <c r="L16" s="4"/>
      <c r="M16" s="4"/>
      <c r="N16" s="4"/>
      <c r="O16" s="4"/>
      <c r="P16" s="4"/>
      <c r="Q16" s="24"/>
      <c r="R16" s="4"/>
      <c r="S16" s="4"/>
      <c r="T16" s="4"/>
      <c r="U16" s="24"/>
      <c r="V16" s="4"/>
      <c r="W16" s="4"/>
      <c r="X16" s="45" t="s">
        <v>2</v>
      </c>
      <c r="Y16" s="5" t="s">
        <v>2</v>
      </c>
      <c r="Z16" s="5" t="s">
        <v>2</v>
      </c>
      <c r="AA16" s="5" t="s">
        <v>2</v>
      </c>
      <c r="AB16" s="21" t="s">
        <v>2</v>
      </c>
      <c r="AC16" s="26" t="s">
        <v>2</v>
      </c>
    </row>
    <row r="17" spans="2:29" x14ac:dyDescent="0.3">
      <c r="B17" s="7" t="s">
        <v>2744</v>
      </c>
      <c r="C17" s="1" t="s">
        <v>2744</v>
      </c>
      <c r="D17" s="8" t="s">
        <v>2744</v>
      </c>
      <c r="E17" s="1" t="s">
        <v>2744</v>
      </c>
      <c r="F17" s="22" t="s">
        <v>2744</v>
      </c>
      <c r="G17" s="1" t="s">
        <v>2744</v>
      </c>
      <c r="H17" s="22" t="s">
        <v>2744</v>
      </c>
      <c r="I17" s="1" t="s">
        <v>2744</v>
      </c>
      <c r="J17" s="1" t="s">
        <v>2744</v>
      </c>
      <c r="K17" s="1" t="s">
        <v>2744</v>
      </c>
      <c r="L17" s="1" t="s">
        <v>2744</v>
      </c>
      <c r="M17" s="1" t="s">
        <v>2744</v>
      </c>
      <c r="N17" s="1" t="s">
        <v>2744</v>
      </c>
      <c r="O17" s="1" t="s">
        <v>2744</v>
      </c>
      <c r="P17" s="1" t="s">
        <v>2744</v>
      </c>
      <c r="Q17" s="1" t="s">
        <v>2744</v>
      </c>
      <c r="R17" s="1" t="s">
        <v>2744</v>
      </c>
      <c r="S17" s="1" t="s">
        <v>2744</v>
      </c>
      <c r="T17" s="1" t="s">
        <v>2744</v>
      </c>
      <c r="U17" s="1" t="s">
        <v>2744</v>
      </c>
      <c r="V17" s="1" t="s">
        <v>2744</v>
      </c>
      <c r="W17" s="1" t="s">
        <v>2744</v>
      </c>
      <c r="X17" s="1" t="s">
        <v>2744</v>
      </c>
      <c r="Y17" s="1" t="s">
        <v>2744</v>
      </c>
      <c r="Z17" s="1" t="s">
        <v>2744</v>
      </c>
      <c r="AA17" s="1" t="s">
        <v>2744</v>
      </c>
      <c r="AB17" s="1" t="s">
        <v>2744</v>
      </c>
      <c r="AC17" s="1" t="s">
        <v>2744</v>
      </c>
    </row>
    <row r="18" spans="2:29" ht="28" x14ac:dyDescent="0.3">
      <c r="B18" s="19" t="s">
        <v>3900</v>
      </c>
      <c r="C18" s="17" t="s">
        <v>2177</v>
      </c>
      <c r="D18" s="16"/>
      <c r="E18" s="2"/>
      <c r="F18" s="29"/>
      <c r="G18" s="2"/>
      <c r="H18" s="29"/>
      <c r="I18" s="2"/>
      <c r="J18" s="3">
        <f>SUM(GMIC_22A_SCDPT5!SCDPT5_050BEGINNG_8:GMIC_22A_SCDPT5!SCDPT5_050ENDINGG_8)</f>
        <v>0</v>
      </c>
      <c r="K18" s="3">
        <f>SUM(GMIC_22A_SCDPT5!SCDPT5_050BEGINNG_9:GMIC_22A_SCDPT5!SCDPT5_050ENDINGG_9)</f>
        <v>0</v>
      </c>
      <c r="L18" s="3">
        <f>SUM(GMIC_22A_SCDPT5!SCDPT5_050BEGINNG_10:GMIC_22A_SCDPT5!SCDPT5_050ENDINGG_10)</f>
        <v>0</v>
      </c>
      <c r="M18" s="3">
        <f>SUM(GMIC_22A_SCDPT5!SCDPT5_050BEGINNG_11:GMIC_22A_SCDPT5!SCDPT5_050ENDINGG_11)</f>
        <v>0</v>
      </c>
      <c r="N18" s="3">
        <f>SUM(GMIC_22A_SCDPT5!SCDPT5_050BEGINNG_12:GMIC_22A_SCDPT5!SCDPT5_050ENDINGG_12)</f>
        <v>0</v>
      </c>
      <c r="O18" s="3">
        <f>SUM(GMIC_22A_SCDPT5!SCDPT5_050BEGINNG_13:GMIC_22A_SCDPT5!SCDPT5_050ENDINGG_13)</f>
        <v>0</v>
      </c>
      <c r="P18" s="3">
        <f>SUM(GMIC_22A_SCDPT5!SCDPT5_050BEGINNG_14:GMIC_22A_SCDPT5!SCDPT5_050ENDINGG_14)</f>
        <v>0</v>
      </c>
      <c r="Q18" s="3">
        <f>SUM(GMIC_22A_SCDPT5!SCDPT5_050BEGINNG_15:GMIC_22A_SCDPT5!SCDPT5_050ENDINGG_15)</f>
        <v>0</v>
      </c>
      <c r="R18" s="3">
        <f>SUM(GMIC_22A_SCDPT5!SCDPT5_050BEGINNG_16:GMIC_22A_SCDPT5!SCDPT5_050ENDINGG_16)</f>
        <v>0</v>
      </c>
      <c r="S18" s="3">
        <f>SUM(GMIC_22A_SCDPT5!SCDPT5_050BEGINNG_17:GMIC_22A_SCDPT5!SCDPT5_050ENDINGG_17)</f>
        <v>0</v>
      </c>
      <c r="T18" s="3">
        <f>SUM(GMIC_22A_SCDPT5!SCDPT5_050BEGINNG_18:GMIC_22A_SCDPT5!SCDPT5_050ENDINGG_18)</f>
        <v>0</v>
      </c>
      <c r="U18" s="3">
        <f>SUM(GMIC_22A_SCDPT5!SCDPT5_050BEGINNG_19:GMIC_22A_SCDPT5!SCDPT5_050ENDINGG_19)</f>
        <v>0</v>
      </c>
      <c r="V18" s="3">
        <f>SUM(GMIC_22A_SCDPT5!SCDPT5_050BEGINNG_20:GMIC_22A_SCDPT5!SCDPT5_050ENDINGG_20)</f>
        <v>0</v>
      </c>
      <c r="W18" s="3">
        <f>SUM(GMIC_22A_SCDPT5!SCDPT5_050BEGINNG_21:GMIC_22A_SCDPT5!SCDPT5_050ENDINGG_21)</f>
        <v>0</v>
      </c>
      <c r="X18" s="2"/>
      <c r="Y18" s="2"/>
      <c r="Z18" s="2"/>
      <c r="AA18" s="2"/>
      <c r="AB18" s="2"/>
      <c r="AC18" s="2"/>
    </row>
    <row r="19" spans="2:29" x14ac:dyDescent="0.3">
      <c r="B19" s="7" t="s">
        <v>2744</v>
      </c>
      <c r="C19" s="1" t="s">
        <v>2744</v>
      </c>
      <c r="D19" s="8" t="s">
        <v>2744</v>
      </c>
      <c r="E19" s="1" t="s">
        <v>2744</v>
      </c>
      <c r="F19" s="22" t="s">
        <v>2744</v>
      </c>
      <c r="G19" s="1" t="s">
        <v>2744</v>
      </c>
      <c r="H19" s="22" t="s">
        <v>2744</v>
      </c>
      <c r="I19" s="1" t="s">
        <v>2744</v>
      </c>
      <c r="J19" s="1" t="s">
        <v>2744</v>
      </c>
      <c r="K19" s="1" t="s">
        <v>2744</v>
      </c>
      <c r="L19" s="1" t="s">
        <v>2744</v>
      </c>
      <c r="M19" s="1" t="s">
        <v>2744</v>
      </c>
      <c r="N19" s="1" t="s">
        <v>2744</v>
      </c>
      <c r="O19" s="1" t="s">
        <v>2744</v>
      </c>
      <c r="P19" s="1" t="s">
        <v>2744</v>
      </c>
      <c r="Q19" s="1" t="s">
        <v>2744</v>
      </c>
      <c r="R19" s="1" t="s">
        <v>2744</v>
      </c>
      <c r="S19" s="1" t="s">
        <v>2744</v>
      </c>
      <c r="T19" s="1" t="s">
        <v>2744</v>
      </c>
      <c r="U19" s="1" t="s">
        <v>2744</v>
      </c>
      <c r="V19" s="1" t="s">
        <v>2744</v>
      </c>
      <c r="W19" s="1" t="s">
        <v>2744</v>
      </c>
      <c r="X19" s="1" t="s">
        <v>2744</v>
      </c>
      <c r="Y19" s="1" t="s">
        <v>2744</v>
      </c>
      <c r="Z19" s="1" t="s">
        <v>2744</v>
      </c>
      <c r="AA19" s="1" t="s">
        <v>2744</v>
      </c>
      <c r="AB19" s="1" t="s">
        <v>2744</v>
      </c>
      <c r="AC19" s="1" t="s">
        <v>2744</v>
      </c>
    </row>
    <row r="20" spans="2:29" x14ac:dyDescent="0.3">
      <c r="B20" s="18" t="s">
        <v>3849</v>
      </c>
      <c r="C20" s="25" t="s">
        <v>3897</v>
      </c>
      <c r="D20" s="15" t="s">
        <v>2</v>
      </c>
      <c r="E20" s="20" t="s">
        <v>2</v>
      </c>
      <c r="F20" s="10"/>
      <c r="G20" s="5" t="s">
        <v>2</v>
      </c>
      <c r="H20" s="10"/>
      <c r="I20" s="5" t="s">
        <v>2</v>
      </c>
      <c r="J20" s="4"/>
      <c r="K20" s="4"/>
      <c r="L20" s="4"/>
      <c r="M20" s="4"/>
      <c r="N20" s="4"/>
      <c r="O20" s="4"/>
      <c r="P20" s="4"/>
      <c r="Q20" s="24"/>
      <c r="R20" s="4"/>
      <c r="S20" s="4"/>
      <c r="T20" s="4"/>
      <c r="U20" s="24"/>
      <c r="V20" s="4"/>
      <c r="W20" s="4"/>
      <c r="X20" s="45" t="s">
        <v>2</v>
      </c>
      <c r="Y20" s="5" t="s">
        <v>2</v>
      </c>
      <c r="Z20" s="5" t="s">
        <v>2</v>
      </c>
      <c r="AA20" s="5" t="s">
        <v>2</v>
      </c>
      <c r="AB20" s="21" t="s">
        <v>2</v>
      </c>
      <c r="AC20" s="26" t="s">
        <v>2</v>
      </c>
    </row>
    <row r="21" spans="2:29" x14ac:dyDescent="0.3">
      <c r="B21" s="7" t="s">
        <v>2744</v>
      </c>
      <c r="C21" s="1" t="s">
        <v>2744</v>
      </c>
      <c r="D21" s="8" t="s">
        <v>2744</v>
      </c>
      <c r="E21" s="1" t="s">
        <v>2744</v>
      </c>
      <c r="F21" s="22" t="s">
        <v>2744</v>
      </c>
      <c r="G21" s="1" t="s">
        <v>2744</v>
      </c>
      <c r="H21" s="22" t="s">
        <v>2744</v>
      </c>
      <c r="I21" s="1" t="s">
        <v>2744</v>
      </c>
      <c r="J21" s="1" t="s">
        <v>2744</v>
      </c>
      <c r="K21" s="1" t="s">
        <v>2744</v>
      </c>
      <c r="L21" s="1" t="s">
        <v>2744</v>
      </c>
      <c r="M21" s="1" t="s">
        <v>2744</v>
      </c>
      <c r="N21" s="1" t="s">
        <v>2744</v>
      </c>
      <c r="O21" s="1" t="s">
        <v>2744</v>
      </c>
      <c r="P21" s="1" t="s">
        <v>2744</v>
      </c>
      <c r="Q21" s="1" t="s">
        <v>2744</v>
      </c>
      <c r="R21" s="1" t="s">
        <v>2744</v>
      </c>
      <c r="S21" s="1" t="s">
        <v>2744</v>
      </c>
      <c r="T21" s="1" t="s">
        <v>2744</v>
      </c>
      <c r="U21" s="1" t="s">
        <v>2744</v>
      </c>
      <c r="V21" s="1" t="s">
        <v>2744</v>
      </c>
      <c r="W21" s="1" t="s">
        <v>2744</v>
      </c>
      <c r="X21" s="1" t="s">
        <v>2744</v>
      </c>
      <c r="Y21" s="1" t="s">
        <v>2744</v>
      </c>
      <c r="Z21" s="1" t="s">
        <v>2744</v>
      </c>
      <c r="AA21" s="1" t="s">
        <v>2744</v>
      </c>
      <c r="AB21" s="1" t="s">
        <v>2744</v>
      </c>
      <c r="AC21" s="1" t="s">
        <v>2744</v>
      </c>
    </row>
    <row r="22" spans="2:29" ht="56" x14ac:dyDescent="0.3">
      <c r="B22" s="19" t="s">
        <v>15</v>
      </c>
      <c r="C22" s="17" t="s">
        <v>3309</v>
      </c>
      <c r="D22" s="16"/>
      <c r="E22" s="2"/>
      <c r="F22" s="29"/>
      <c r="G22" s="2"/>
      <c r="H22" s="29"/>
      <c r="I22" s="2"/>
      <c r="J22" s="3">
        <f>SUM(GMIC_22A_SCDPT5!SCDPT5_070BEGINNG_8:GMIC_22A_SCDPT5!SCDPT5_070ENDINGG_8)</f>
        <v>0</v>
      </c>
      <c r="K22" s="3">
        <f>SUM(GMIC_22A_SCDPT5!SCDPT5_070BEGINNG_9:GMIC_22A_SCDPT5!SCDPT5_070ENDINGG_9)</f>
        <v>0</v>
      </c>
      <c r="L22" s="3">
        <f>SUM(GMIC_22A_SCDPT5!SCDPT5_070BEGINNG_10:GMIC_22A_SCDPT5!SCDPT5_070ENDINGG_10)</f>
        <v>0</v>
      </c>
      <c r="M22" s="3">
        <f>SUM(GMIC_22A_SCDPT5!SCDPT5_070BEGINNG_11:GMIC_22A_SCDPT5!SCDPT5_070ENDINGG_11)</f>
        <v>0</v>
      </c>
      <c r="N22" s="3">
        <f>SUM(GMIC_22A_SCDPT5!SCDPT5_070BEGINNG_12:GMIC_22A_SCDPT5!SCDPT5_070ENDINGG_12)</f>
        <v>0</v>
      </c>
      <c r="O22" s="3">
        <f>SUM(GMIC_22A_SCDPT5!SCDPT5_070BEGINNG_13:GMIC_22A_SCDPT5!SCDPT5_070ENDINGG_13)</f>
        <v>0</v>
      </c>
      <c r="P22" s="3">
        <f>SUM(GMIC_22A_SCDPT5!SCDPT5_070BEGINNG_14:GMIC_22A_SCDPT5!SCDPT5_070ENDINGG_14)</f>
        <v>0</v>
      </c>
      <c r="Q22" s="3">
        <f>SUM(GMIC_22A_SCDPT5!SCDPT5_070BEGINNG_15:GMIC_22A_SCDPT5!SCDPT5_070ENDINGG_15)</f>
        <v>0</v>
      </c>
      <c r="R22" s="3">
        <f>SUM(GMIC_22A_SCDPT5!SCDPT5_070BEGINNG_16:GMIC_22A_SCDPT5!SCDPT5_070ENDINGG_16)</f>
        <v>0</v>
      </c>
      <c r="S22" s="3">
        <f>SUM(GMIC_22A_SCDPT5!SCDPT5_070BEGINNG_17:GMIC_22A_SCDPT5!SCDPT5_070ENDINGG_17)</f>
        <v>0</v>
      </c>
      <c r="T22" s="3">
        <f>SUM(GMIC_22A_SCDPT5!SCDPT5_070BEGINNG_18:GMIC_22A_SCDPT5!SCDPT5_070ENDINGG_18)</f>
        <v>0</v>
      </c>
      <c r="U22" s="3">
        <f>SUM(GMIC_22A_SCDPT5!SCDPT5_070BEGINNG_19:GMIC_22A_SCDPT5!SCDPT5_070ENDINGG_19)</f>
        <v>0</v>
      </c>
      <c r="V22" s="3">
        <f>SUM(GMIC_22A_SCDPT5!SCDPT5_070BEGINNG_20:GMIC_22A_SCDPT5!SCDPT5_070ENDINGG_20)</f>
        <v>0</v>
      </c>
      <c r="W22" s="3">
        <f>SUM(GMIC_22A_SCDPT5!SCDPT5_070BEGINNG_21:GMIC_22A_SCDPT5!SCDPT5_070ENDINGG_21)</f>
        <v>0</v>
      </c>
      <c r="X22" s="2"/>
      <c r="Y22" s="2"/>
      <c r="Z22" s="2"/>
      <c r="AA22" s="2"/>
      <c r="AB22" s="2"/>
      <c r="AC22" s="2"/>
    </row>
    <row r="23" spans="2:29" x14ac:dyDescent="0.3">
      <c r="B23" s="7" t="s">
        <v>2744</v>
      </c>
      <c r="C23" s="1" t="s">
        <v>2744</v>
      </c>
      <c r="D23" s="8" t="s">
        <v>2744</v>
      </c>
      <c r="E23" s="1" t="s">
        <v>2744</v>
      </c>
      <c r="F23" s="22" t="s">
        <v>2744</v>
      </c>
      <c r="G23" s="1" t="s">
        <v>2744</v>
      </c>
      <c r="H23" s="22" t="s">
        <v>2744</v>
      </c>
      <c r="I23" s="1" t="s">
        <v>2744</v>
      </c>
      <c r="J23" s="1" t="s">
        <v>2744</v>
      </c>
      <c r="K23" s="1" t="s">
        <v>2744</v>
      </c>
      <c r="L23" s="1" t="s">
        <v>2744</v>
      </c>
      <c r="M23" s="1" t="s">
        <v>2744</v>
      </c>
      <c r="N23" s="1" t="s">
        <v>2744</v>
      </c>
      <c r="O23" s="1" t="s">
        <v>2744</v>
      </c>
      <c r="P23" s="1" t="s">
        <v>2744</v>
      </c>
      <c r="Q23" s="1" t="s">
        <v>2744</v>
      </c>
      <c r="R23" s="1" t="s">
        <v>2744</v>
      </c>
      <c r="S23" s="1" t="s">
        <v>2744</v>
      </c>
      <c r="T23" s="1" t="s">
        <v>2744</v>
      </c>
      <c r="U23" s="1" t="s">
        <v>2744</v>
      </c>
      <c r="V23" s="1" t="s">
        <v>2744</v>
      </c>
      <c r="W23" s="1" t="s">
        <v>2744</v>
      </c>
      <c r="X23" s="1" t="s">
        <v>2744</v>
      </c>
      <c r="Y23" s="1" t="s">
        <v>2744</v>
      </c>
      <c r="Z23" s="1" t="s">
        <v>2744</v>
      </c>
      <c r="AA23" s="1" t="s">
        <v>2744</v>
      </c>
      <c r="AB23" s="1" t="s">
        <v>2744</v>
      </c>
      <c r="AC23" s="1" t="s">
        <v>2744</v>
      </c>
    </row>
    <row r="24" spans="2:29" x14ac:dyDescent="0.3">
      <c r="B24" s="18" t="s">
        <v>1057</v>
      </c>
      <c r="C24" s="47" t="s">
        <v>1608</v>
      </c>
      <c r="D24" s="15" t="s">
        <v>25</v>
      </c>
      <c r="E24" s="20" t="s">
        <v>2</v>
      </c>
      <c r="F24" s="14">
        <v>44575</v>
      </c>
      <c r="G24" s="5" t="s">
        <v>4453</v>
      </c>
      <c r="H24" s="14">
        <v>44607</v>
      </c>
      <c r="I24" s="5" t="s">
        <v>466</v>
      </c>
      <c r="J24" s="4">
        <v>15000</v>
      </c>
      <c r="K24" s="4">
        <v>14885</v>
      </c>
      <c r="L24" s="4">
        <v>15000</v>
      </c>
      <c r="M24" s="4">
        <v>14887</v>
      </c>
      <c r="N24" s="4">
        <v>0</v>
      </c>
      <c r="O24" s="4">
        <v>2</v>
      </c>
      <c r="P24" s="4">
        <v>0</v>
      </c>
      <c r="Q24" s="3">
        <f>GMIC_22A_SCDPT5!SCDPT5_0900000001_12+GMIC_22A_SCDPT5!SCDPT5_0900000001_13-GMIC_22A_SCDPT5!SCDPT5_0900000001_14</f>
        <v>2</v>
      </c>
      <c r="R24" s="4">
        <v>0</v>
      </c>
      <c r="S24" s="4">
        <v>0</v>
      </c>
      <c r="T24" s="4">
        <v>113</v>
      </c>
      <c r="U24" s="3">
        <f>GMIC_22A_SCDPT5!SCDPT5_0900000001_17+GMIC_22A_SCDPT5!SCDPT5_0900000001_18</f>
        <v>113</v>
      </c>
      <c r="V24" s="4">
        <v>0</v>
      </c>
      <c r="W24" s="4">
        <v>52</v>
      </c>
      <c r="X24" s="45" t="s">
        <v>1410</v>
      </c>
      <c r="Y24" s="5" t="s">
        <v>3908</v>
      </c>
      <c r="Z24" s="5" t="s">
        <v>284</v>
      </c>
      <c r="AA24" s="5" t="s">
        <v>2763</v>
      </c>
      <c r="AB24" s="21" t="s">
        <v>2</v>
      </c>
      <c r="AC24" s="26" t="s">
        <v>4179</v>
      </c>
    </row>
    <row r="25" spans="2:29" x14ac:dyDescent="0.3">
      <c r="B25" s="7" t="s">
        <v>2744</v>
      </c>
      <c r="C25" s="1" t="s">
        <v>2744</v>
      </c>
      <c r="D25" s="8" t="s">
        <v>2744</v>
      </c>
      <c r="E25" s="1" t="s">
        <v>2744</v>
      </c>
      <c r="F25" s="22" t="s">
        <v>2744</v>
      </c>
      <c r="G25" s="1" t="s">
        <v>2744</v>
      </c>
      <c r="H25" s="22" t="s">
        <v>2744</v>
      </c>
      <c r="I25" s="1" t="s">
        <v>2744</v>
      </c>
      <c r="J25" s="1" t="s">
        <v>2744</v>
      </c>
      <c r="K25" s="1" t="s">
        <v>2744</v>
      </c>
      <c r="L25" s="1" t="s">
        <v>2744</v>
      </c>
      <c r="M25" s="1" t="s">
        <v>2744</v>
      </c>
      <c r="N25" s="1" t="s">
        <v>2744</v>
      </c>
      <c r="O25" s="1" t="s">
        <v>2744</v>
      </c>
      <c r="P25" s="1" t="s">
        <v>2744</v>
      </c>
      <c r="Q25" s="1" t="s">
        <v>2744</v>
      </c>
      <c r="R25" s="1" t="s">
        <v>2744</v>
      </c>
      <c r="S25" s="1" t="s">
        <v>2744</v>
      </c>
      <c r="T25" s="1" t="s">
        <v>2744</v>
      </c>
      <c r="U25" s="1" t="s">
        <v>2744</v>
      </c>
      <c r="V25" s="1" t="s">
        <v>2744</v>
      </c>
      <c r="W25" s="1" t="s">
        <v>2744</v>
      </c>
      <c r="X25" s="1" t="s">
        <v>2744</v>
      </c>
      <c r="Y25" s="1" t="s">
        <v>2744</v>
      </c>
      <c r="Z25" s="1" t="s">
        <v>2744</v>
      </c>
      <c r="AA25" s="1" t="s">
        <v>2744</v>
      </c>
      <c r="AB25" s="1" t="s">
        <v>2744</v>
      </c>
      <c r="AC25" s="1" t="s">
        <v>2744</v>
      </c>
    </row>
    <row r="26" spans="2:29" ht="28" x14ac:dyDescent="0.3">
      <c r="B26" s="19" t="s">
        <v>523</v>
      </c>
      <c r="C26" s="17" t="s">
        <v>706</v>
      </c>
      <c r="D26" s="16"/>
      <c r="E26" s="2"/>
      <c r="F26" s="29"/>
      <c r="G26" s="2"/>
      <c r="H26" s="29"/>
      <c r="I26" s="2"/>
      <c r="J26" s="3">
        <f>SUM(GMIC_22A_SCDPT5!SCDPT5_090BEGINNG_8:GMIC_22A_SCDPT5!SCDPT5_090ENDINGG_8)</f>
        <v>15000</v>
      </c>
      <c r="K26" s="3">
        <f>SUM(GMIC_22A_SCDPT5!SCDPT5_090BEGINNG_9:GMIC_22A_SCDPT5!SCDPT5_090ENDINGG_9)</f>
        <v>14885</v>
      </c>
      <c r="L26" s="3">
        <f>SUM(GMIC_22A_SCDPT5!SCDPT5_090BEGINNG_10:GMIC_22A_SCDPT5!SCDPT5_090ENDINGG_10)</f>
        <v>15000</v>
      </c>
      <c r="M26" s="3">
        <f>SUM(GMIC_22A_SCDPT5!SCDPT5_090BEGINNG_11:GMIC_22A_SCDPT5!SCDPT5_090ENDINGG_11)</f>
        <v>14887</v>
      </c>
      <c r="N26" s="3">
        <f>SUM(GMIC_22A_SCDPT5!SCDPT5_090BEGINNG_12:GMIC_22A_SCDPT5!SCDPT5_090ENDINGG_12)</f>
        <v>0</v>
      </c>
      <c r="O26" s="3">
        <f>SUM(GMIC_22A_SCDPT5!SCDPT5_090BEGINNG_13:GMIC_22A_SCDPT5!SCDPT5_090ENDINGG_13)</f>
        <v>2</v>
      </c>
      <c r="P26" s="3">
        <f>SUM(GMIC_22A_SCDPT5!SCDPT5_090BEGINNG_14:GMIC_22A_SCDPT5!SCDPT5_090ENDINGG_14)</f>
        <v>0</v>
      </c>
      <c r="Q26" s="3">
        <f>SUM(GMIC_22A_SCDPT5!SCDPT5_090BEGINNG_15:GMIC_22A_SCDPT5!SCDPT5_090ENDINGG_15)</f>
        <v>2</v>
      </c>
      <c r="R26" s="3">
        <f>SUM(GMIC_22A_SCDPT5!SCDPT5_090BEGINNG_16:GMIC_22A_SCDPT5!SCDPT5_090ENDINGG_16)</f>
        <v>0</v>
      </c>
      <c r="S26" s="3">
        <f>SUM(GMIC_22A_SCDPT5!SCDPT5_090BEGINNG_17:GMIC_22A_SCDPT5!SCDPT5_090ENDINGG_17)</f>
        <v>0</v>
      </c>
      <c r="T26" s="3">
        <f>SUM(GMIC_22A_SCDPT5!SCDPT5_090BEGINNG_18:GMIC_22A_SCDPT5!SCDPT5_090ENDINGG_18)</f>
        <v>113</v>
      </c>
      <c r="U26" s="3">
        <f>SUM(GMIC_22A_SCDPT5!SCDPT5_090BEGINNG_19:GMIC_22A_SCDPT5!SCDPT5_090ENDINGG_19)</f>
        <v>113</v>
      </c>
      <c r="V26" s="3">
        <f>SUM(GMIC_22A_SCDPT5!SCDPT5_090BEGINNG_20:GMIC_22A_SCDPT5!SCDPT5_090ENDINGG_20)</f>
        <v>0</v>
      </c>
      <c r="W26" s="3">
        <f>SUM(GMIC_22A_SCDPT5!SCDPT5_090BEGINNG_21:GMIC_22A_SCDPT5!SCDPT5_090ENDINGG_21)</f>
        <v>52</v>
      </c>
      <c r="X26" s="2"/>
      <c r="Y26" s="2"/>
      <c r="Z26" s="2"/>
      <c r="AA26" s="2"/>
      <c r="AB26" s="2"/>
      <c r="AC26" s="2"/>
    </row>
    <row r="27" spans="2:29" x14ac:dyDescent="0.3">
      <c r="B27" s="7" t="s">
        <v>2744</v>
      </c>
      <c r="C27" s="1" t="s">
        <v>2744</v>
      </c>
      <c r="D27" s="8" t="s">
        <v>2744</v>
      </c>
      <c r="E27" s="1" t="s">
        <v>2744</v>
      </c>
      <c r="F27" s="22" t="s">
        <v>2744</v>
      </c>
      <c r="G27" s="1" t="s">
        <v>2744</v>
      </c>
      <c r="H27" s="22" t="s">
        <v>2744</v>
      </c>
      <c r="I27" s="1" t="s">
        <v>2744</v>
      </c>
      <c r="J27" s="1" t="s">
        <v>2744</v>
      </c>
      <c r="K27" s="1" t="s">
        <v>2744</v>
      </c>
      <c r="L27" s="1" t="s">
        <v>2744</v>
      </c>
      <c r="M27" s="1" t="s">
        <v>2744</v>
      </c>
      <c r="N27" s="1" t="s">
        <v>2744</v>
      </c>
      <c r="O27" s="1" t="s">
        <v>2744</v>
      </c>
      <c r="P27" s="1" t="s">
        <v>2744</v>
      </c>
      <c r="Q27" s="1" t="s">
        <v>2744</v>
      </c>
      <c r="R27" s="1" t="s">
        <v>2744</v>
      </c>
      <c r="S27" s="1" t="s">
        <v>2744</v>
      </c>
      <c r="T27" s="1" t="s">
        <v>2744</v>
      </c>
      <c r="U27" s="1" t="s">
        <v>2744</v>
      </c>
      <c r="V27" s="1" t="s">
        <v>2744</v>
      </c>
      <c r="W27" s="1" t="s">
        <v>2744</v>
      </c>
      <c r="X27" s="1" t="s">
        <v>2744</v>
      </c>
      <c r="Y27" s="1" t="s">
        <v>2744</v>
      </c>
      <c r="Z27" s="1" t="s">
        <v>2744</v>
      </c>
      <c r="AA27" s="1" t="s">
        <v>2744</v>
      </c>
      <c r="AB27" s="1" t="s">
        <v>2744</v>
      </c>
      <c r="AC27" s="1" t="s">
        <v>2744</v>
      </c>
    </row>
    <row r="28" spans="2:29" x14ac:dyDescent="0.3">
      <c r="B28" s="18" t="s">
        <v>2978</v>
      </c>
      <c r="C28" s="47" t="s">
        <v>3268</v>
      </c>
      <c r="D28" s="15" t="s">
        <v>4409</v>
      </c>
      <c r="E28" s="20" t="s">
        <v>2</v>
      </c>
      <c r="F28" s="14">
        <v>44673</v>
      </c>
      <c r="G28" s="5" t="s">
        <v>3313</v>
      </c>
      <c r="H28" s="14">
        <v>44923</v>
      </c>
      <c r="I28" s="5" t="s">
        <v>2704</v>
      </c>
      <c r="J28" s="4">
        <v>694277.78</v>
      </c>
      <c r="K28" s="4">
        <v>694126</v>
      </c>
      <c r="L28" s="4">
        <v>694278</v>
      </c>
      <c r="M28" s="4">
        <v>694278</v>
      </c>
      <c r="N28" s="4">
        <v>0</v>
      </c>
      <c r="O28" s="4">
        <v>152</v>
      </c>
      <c r="P28" s="4">
        <v>0</v>
      </c>
      <c r="Q28" s="3">
        <f>GMIC_22A_SCDPT5!SCDPT5_1100000001_12+GMIC_22A_SCDPT5!SCDPT5_1100000001_13-GMIC_22A_SCDPT5!SCDPT5_1100000001_14</f>
        <v>152</v>
      </c>
      <c r="R28" s="4">
        <v>0</v>
      </c>
      <c r="S28" s="4">
        <v>0</v>
      </c>
      <c r="T28" s="4">
        <v>0</v>
      </c>
      <c r="U28" s="3">
        <f>GMIC_22A_SCDPT5!SCDPT5_1100000001_17+GMIC_22A_SCDPT5!SCDPT5_1100000001_18</f>
        <v>0</v>
      </c>
      <c r="V28" s="4">
        <v>10508</v>
      </c>
      <c r="W28" s="4">
        <v>0</v>
      </c>
      <c r="X28" s="2"/>
      <c r="Y28" s="5" t="s">
        <v>2</v>
      </c>
      <c r="Z28" s="5" t="s">
        <v>1791</v>
      </c>
      <c r="AA28" s="5" t="s">
        <v>824</v>
      </c>
      <c r="AB28" s="21" t="s">
        <v>2</v>
      </c>
      <c r="AC28" s="26" t="s">
        <v>4179</v>
      </c>
    </row>
    <row r="29" spans="2:29" x14ac:dyDescent="0.3">
      <c r="B29" s="18" t="s">
        <v>4120</v>
      </c>
      <c r="C29" s="47" t="s">
        <v>3269</v>
      </c>
      <c r="D29" s="15" t="s">
        <v>4409</v>
      </c>
      <c r="E29" s="55" t="s">
        <v>2</v>
      </c>
      <c r="F29" s="14">
        <v>44673</v>
      </c>
      <c r="G29" s="5" t="s">
        <v>3313</v>
      </c>
      <c r="H29" s="14">
        <v>44923</v>
      </c>
      <c r="I29" s="5" t="s">
        <v>2704</v>
      </c>
      <c r="J29" s="4">
        <v>260351.55</v>
      </c>
      <c r="K29" s="4">
        <v>260288</v>
      </c>
      <c r="L29" s="4">
        <v>260352</v>
      </c>
      <c r="M29" s="4">
        <v>260352</v>
      </c>
      <c r="N29" s="4">
        <v>0</v>
      </c>
      <c r="O29" s="4">
        <v>64</v>
      </c>
      <c r="P29" s="4">
        <v>0</v>
      </c>
      <c r="Q29" s="24">
        <v>64</v>
      </c>
      <c r="R29" s="4">
        <v>0</v>
      </c>
      <c r="S29" s="4">
        <v>0</v>
      </c>
      <c r="T29" s="4">
        <v>0</v>
      </c>
      <c r="U29" s="24">
        <v>0</v>
      </c>
      <c r="V29" s="4">
        <v>4457</v>
      </c>
      <c r="W29" s="4">
        <v>0</v>
      </c>
      <c r="X29" s="2"/>
      <c r="Y29" s="5" t="s">
        <v>2</v>
      </c>
      <c r="Z29" s="5" t="s">
        <v>1791</v>
      </c>
      <c r="AA29" s="5" t="s">
        <v>824</v>
      </c>
      <c r="AB29" s="21" t="s">
        <v>2</v>
      </c>
      <c r="AC29" s="54" t="s">
        <v>4179</v>
      </c>
    </row>
    <row r="30" spans="2:29" x14ac:dyDescent="0.3">
      <c r="B30" s="18" t="s">
        <v>707</v>
      </c>
      <c r="C30" s="47" t="s">
        <v>2923</v>
      </c>
      <c r="D30" s="15" t="s">
        <v>1528</v>
      </c>
      <c r="E30" s="55" t="s">
        <v>2</v>
      </c>
      <c r="F30" s="14">
        <v>44593</v>
      </c>
      <c r="G30" s="5" t="s">
        <v>4461</v>
      </c>
      <c r="H30" s="14">
        <v>44915</v>
      </c>
      <c r="I30" s="5" t="s">
        <v>2704</v>
      </c>
      <c r="J30" s="4">
        <v>252212.56</v>
      </c>
      <c r="K30" s="4">
        <v>252091</v>
      </c>
      <c r="L30" s="4">
        <v>252213</v>
      </c>
      <c r="M30" s="4">
        <v>252213</v>
      </c>
      <c r="N30" s="4">
        <v>0</v>
      </c>
      <c r="O30" s="4">
        <v>121</v>
      </c>
      <c r="P30" s="4">
        <v>0</v>
      </c>
      <c r="Q30" s="24">
        <v>121</v>
      </c>
      <c r="R30" s="4">
        <v>0</v>
      </c>
      <c r="S30" s="4">
        <v>0</v>
      </c>
      <c r="T30" s="4">
        <v>0</v>
      </c>
      <c r="U30" s="24">
        <v>0</v>
      </c>
      <c r="V30" s="4">
        <v>3854</v>
      </c>
      <c r="W30" s="4">
        <v>0</v>
      </c>
      <c r="X30" s="2"/>
      <c r="Y30" s="5" t="s">
        <v>2</v>
      </c>
      <c r="Z30" s="5" t="s">
        <v>3575</v>
      </c>
      <c r="AA30" s="5" t="s">
        <v>824</v>
      </c>
      <c r="AB30" s="21" t="s">
        <v>2</v>
      </c>
      <c r="AC30" s="54" t="s">
        <v>4179</v>
      </c>
    </row>
    <row r="31" spans="2:29" x14ac:dyDescent="0.3">
      <c r="B31" s="18" t="s">
        <v>1845</v>
      </c>
      <c r="C31" s="47" t="s">
        <v>3275</v>
      </c>
      <c r="D31" s="15" t="s">
        <v>3790</v>
      </c>
      <c r="E31" s="55" t="s">
        <v>2</v>
      </c>
      <c r="F31" s="14">
        <v>44774</v>
      </c>
      <c r="G31" s="5" t="s">
        <v>4461</v>
      </c>
      <c r="H31" s="14">
        <v>44920</v>
      </c>
      <c r="I31" s="5" t="s">
        <v>2704</v>
      </c>
      <c r="J31" s="4">
        <v>552403.94999999995</v>
      </c>
      <c r="K31" s="4">
        <v>552304</v>
      </c>
      <c r="L31" s="4">
        <v>552404</v>
      </c>
      <c r="M31" s="4">
        <v>552404</v>
      </c>
      <c r="N31" s="4">
        <v>0</v>
      </c>
      <c r="O31" s="4">
        <v>100</v>
      </c>
      <c r="P31" s="4">
        <v>0</v>
      </c>
      <c r="Q31" s="24">
        <v>100</v>
      </c>
      <c r="R31" s="4">
        <v>0</v>
      </c>
      <c r="S31" s="4">
        <v>0</v>
      </c>
      <c r="T31" s="4">
        <v>0</v>
      </c>
      <c r="U31" s="24">
        <v>0</v>
      </c>
      <c r="V31" s="4">
        <v>4921</v>
      </c>
      <c r="W31" s="4">
        <v>0</v>
      </c>
      <c r="X31" s="2"/>
      <c r="Y31" s="5" t="s">
        <v>2</v>
      </c>
      <c r="Z31" s="5" t="s">
        <v>4070</v>
      </c>
      <c r="AA31" s="5" t="s">
        <v>824</v>
      </c>
      <c r="AB31" s="21" t="s">
        <v>2</v>
      </c>
      <c r="AC31" s="54" t="s">
        <v>4179</v>
      </c>
    </row>
    <row r="32" spans="2:29" x14ac:dyDescent="0.3">
      <c r="B32" s="18" t="s">
        <v>2980</v>
      </c>
      <c r="C32" s="47" t="s">
        <v>1318</v>
      </c>
      <c r="D32" s="15" t="s">
        <v>3790</v>
      </c>
      <c r="E32" s="55" t="s">
        <v>2</v>
      </c>
      <c r="F32" s="9">
        <v>44774</v>
      </c>
      <c r="G32" s="5" t="s">
        <v>4461</v>
      </c>
      <c r="H32" s="9">
        <v>44920</v>
      </c>
      <c r="I32" s="5" t="s">
        <v>2704</v>
      </c>
      <c r="J32" s="4">
        <v>345252.47</v>
      </c>
      <c r="K32" s="4">
        <v>345174</v>
      </c>
      <c r="L32" s="4">
        <v>345252</v>
      </c>
      <c r="M32" s="4">
        <v>345252</v>
      </c>
      <c r="N32" s="4">
        <v>0</v>
      </c>
      <c r="O32" s="4">
        <v>78</v>
      </c>
      <c r="P32" s="4">
        <v>0</v>
      </c>
      <c r="Q32" s="24">
        <v>78</v>
      </c>
      <c r="R32" s="4">
        <v>0</v>
      </c>
      <c r="S32" s="4">
        <v>0</v>
      </c>
      <c r="T32" s="4">
        <v>0</v>
      </c>
      <c r="U32" s="24">
        <v>0</v>
      </c>
      <c r="V32" s="4">
        <v>3390</v>
      </c>
      <c r="W32" s="4">
        <v>0</v>
      </c>
      <c r="X32" s="2"/>
      <c r="Y32" s="5" t="s">
        <v>2</v>
      </c>
      <c r="Z32" s="5" t="s">
        <v>4070</v>
      </c>
      <c r="AA32" s="5" t="s">
        <v>824</v>
      </c>
      <c r="AB32" s="21" t="s">
        <v>2</v>
      </c>
      <c r="AC32" s="54" t="s">
        <v>4179</v>
      </c>
    </row>
    <row r="33" spans="2:29" x14ac:dyDescent="0.3">
      <c r="B33" s="18" t="s">
        <v>4121</v>
      </c>
      <c r="C33" s="47" t="s">
        <v>1808</v>
      </c>
      <c r="D33" s="15" t="s">
        <v>417</v>
      </c>
      <c r="E33" s="55" t="s">
        <v>2</v>
      </c>
      <c r="F33" s="9">
        <v>44594</v>
      </c>
      <c r="G33" s="5" t="s">
        <v>2199</v>
      </c>
      <c r="H33" s="9">
        <v>44890</v>
      </c>
      <c r="I33" s="5" t="s">
        <v>2704</v>
      </c>
      <c r="J33" s="4">
        <v>45000</v>
      </c>
      <c r="K33" s="4">
        <v>45000</v>
      </c>
      <c r="L33" s="4">
        <v>45000</v>
      </c>
      <c r="M33" s="4">
        <v>45000</v>
      </c>
      <c r="N33" s="4">
        <v>0</v>
      </c>
      <c r="O33" s="4">
        <v>0</v>
      </c>
      <c r="P33" s="4">
        <v>0</v>
      </c>
      <c r="Q33" s="24">
        <v>0</v>
      </c>
      <c r="R33" s="4">
        <v>0</v>
      </c>
      <c r="S33" s="4">
        <v>0</v>
      </c>
      <c r="T33" s="4">
        <v>0</v>
      </c>
      <c r="U33" s="24">
        <v>0</v>
      </c>
      <c r="V33" s="4">
        <v>1003</v>
      </c>
      <c r="W33" s="4">
        <v>0</v>
      </c>
      <c r="X33" s="2"/>
      <c r="Y33" s="5" t="s">
        <v>2</v>
      </c>
      <c r="Z33" s="5" t="s">
        <v>1320</v>
      </c>
      <c r="AA33" s="5" t="s">
        <v>824</v>
      </c>
      <c r="AB33" s="21" t="s">
        <v>2</v>
      </c>
      <c r="AC33" s="54" t="s">
        <v>4179</v>
      </c>
    </row>
    <row r="34" spans="2:29" x14ac:dyDescent="0.3">
      <c r="B34" s="18" t="s">
        <v>708</v>
      </c>
      <c r="C34" s="47" t="s">
        <v>1540</v>
      </c>
      <c r="D34" s="15" t="s">
        <v>3579</v>
      </c>
      <c r="E34" s="55" t="s">
        <v>2</v>
      </c>
      <c r="F34" s="9">
        <v>44579</v>
      </c>
      <c r="G34" s="5" t="s">
        <v>208</v>
      </c>
      <c r="H34" s="9">
        <v>44915</v>
      </c>
      <c r="I34" s="5" t="s">
        <v>2704</v>
      </c>
      <c r="J34" s="4">
        <v>653618.35</v>
      </c>
      <c r="K34" s="4">
        <v>643584</v>
      </c>
      <c r="L34" s="4">
        <v>653618</v>
      </c>
      <c r="M34" s="4">
        <v>653618</v>
      </c>
      <c r="N34" s="4">
        <v>0</v>
      </c>
      <c r="O34" s="4">
        <v>10034</v>
      </c>
      <c r="P34" s="4">
        <v>0</v>
      </c>
      <c r="Q34" s="24">
        <v>10034</v>
      </c>
      <c r="R34" s="4">
        <v>0</v>
      </c>
      <c r="S34" s="4">
        <v>0</v>
      </c>
      <c r="T34" s="4">
        <v>0</v>
      </c>
      <c r="U34" s="24">
        <v>0</v>
      </c>
      <c r="V34" s="4">
        <v>6911</v>
      </c>
      <c r="W34" s="4">
        <v>0</v>
      </c>
      <c r="X34" s="2"/>
      <c r="Y34" s="5" t="s">
        <v>2</v>
      </c>
      <c r="Z34" s="5" t="s">
        <v>1539</v>
      </c>
      <c r="AA34" s="5" t="s">
        <v>824</v>
      </c>
      <c r="AB34" s="21" t="s">
        <v>2</v>
      </c>
      <c r="AC34" s="54" t="s">
        <v>4179</v>
      </c>
    </row>
    <row r="35" spans="2:29" x14ac:dyDescent="0.3">
      <c r="B35" s="18" t="s">
        <v>2180</v>
      </c>
      <c r="C35" s="47" t="s">
        <v>2664</v>
      </c>
      <c r="D35" s="15" t="s">
        <v>2935</v>
      </c>
      <c r="E35" s="55" t="s">
        <v>2</v>
      </c>
      <c r="F35" s="9">
        <v>44693</v>
      </c>
      <c r="G35" s="5" t="s">
        <v>208</v>
      </c>
      <c r="H35" s="9">
        <v>44915</v>
      </c>
      <c r="I35" s="5" t="s">
        <v>2704</v>
      </c>
      <c r="J35" s="4">
        <v>772620.26</v>
      </c>
      <c r="K35" s="4">
        <v>772422</v>
      </c>
      <c r="L35" s="4">
        <v>772620</v>
      </c>
      <c r="M35" s="4">
        <v>772620</v>
      </c>
      <c r="N35" s="4">
        <v>0</v>
      </c>
      <c r="O35" s="4">
        <v>199</v>
      </c>
      <c r="P35" s="4">
        <v>0</v>
      </c>
      <c r="Q35" s="24">
        <v>199</v>
      </c>
      <c r="R35" s="4">
        <v>0</v>
      </c>
      <c r="S35" s="4">
        <v>0</v>
      </c>
      <c r="T35" s="4">
        <v>0</v>
      </c>
      <c r="U35" s="24">
        <v>0</v>
      </c>
      <c r="V35" s="4">
        <v>10862</v>
      </c>
      <c r="W35" s="4">
        <v>0</v>
      </c>
      <c r="X35" s="2"/>
      <c r="Y35" s="5" t="s">
        <v>2</v>
      </c>
      <c r="Z35" s="5" t="s">
        <v>423</v>
      </c>
      <c r="AA35" s="5" t="s">
        <v>824</v>
      </c>
      <c r="AB35" s="21" t="s">
        <v>2</v>
      </c>
      <c r="AC35" s="54" t="s">
        <v>4179</v>
      </c>
    </row>
    <row r="36" spans="2:29" x14ac:dyDescent="0.3">
      <c r="B36" s="18" t="s">
        <v>3311</v>
      </c>
      <c r="C36" s="47" t="s">
        <v>675</v>
      </c>
      <c r="D36" s="15" t="s">
        <v>2935</v>
      </c>
      <c r="E36" s="55" t="s">
        <v>2</v>
      </c>
      <c r="F36" s="9">
        <v>44693</v>
      </c>
      <c r="G36" s="5" t="s">
        <v>208</v>
      </c>
      <c r="H36" s="9">
        <v>44915</v>
      </c>
      <c r="I36" s="5" t="s">
        <v>2704</v>
      </c>
      <c r="J36" s="4">
        <v>772620.26</v>
      </c>
      <c r="K36" s="4">
        <v>772534</v>
      </c>
      <c r="L36" s="4">
        <v>772620</v>
      </c>
      <c r="M36" s="4">
        <v>772620</v>
      </c>
      <c r="N36" s="4">
        <v>0</v>
      </c>
      <c r="O36" s="4">
        <v>86</v>
      </c>
      <c r="P36" s="4">
        <v>0</v>
      </c>
      <c r="Q36" s="24">
        <v>86</v>
      </c>
      <c r="R36" s="4">
        <v>0</v>
      </c>
      <c r="S36" s="4">
        <v>0</v>
      </c>
      <c r="T36" s="4">
        <v>0</v>
      </c>
      <c r="U36" s="24">
        <v>0</v>
      </c>
      <c r="V36" s="4">
        <v>11516</v>
      </c>
      <c r="W36" s="4">
        <v>0</v>
      </c>
      <c r="X36" s="2"/>
      <c r="Y36" s="5" t="s">
        <v>2</v>
      </c>
      <c r="Z36" s="5" t="s">
        <v>423</v>
      </c>
      <c r="AA36" s="5" t="s">
        <v>824</v>
      </c>
      <c r="AB36" s="21" t="s">
        <v>2</v>
      </c>
      <c r="AC36" s="54" t="s">
        <v>4179</v>
      </c>
    </row>
    <row r="37" spans="2:29" x14ac:dyDescent="0.3">
      <c r="B37" s="18" t="s">
        <v>709</v>
      </c>
      <c r="C37" s="47" t="s">
        <v>359</v>
      </c>
      <c r="D37" s="15" t="s">
        <v>2602</v>
      </c>
      <c r="E37" s="55" t="s">
        <v>2</v>
      </c>
      <c r="F37" s="9">
        <v>44599</v>
      </c>
      <c r="G37" s="5" t="s">
        <v>2979</v>
      </c>
      <c r="H37" s="9">
        <v>44896</v>
      </c>
      <c r="I37" s="5" t="s">
        <v>2224</v>
      </c>
      <c r="J37" s="4">
        <v>714230.72</v>
      </c>
      <c r="K37" s="4">
        <v>714077</v>
      </c>
      <c r="L37" s="4">
        <v>714231</v>
      </c>
      <c r="M37" s="4">
        <v>714231</v>
      </c>
      <c r="N37" s="4">
        <v>0</v>
      </c>
      <c r="O37" s="4">
        <v>154</v>
      </c>
      <c r="P37" s="4">
        <v>0</v>
      </c>
      <c r="Q37" s="24">
        <v>154</v>
      </c>
      <c r="R37" s="4">
        <v>0</v>
      </c>
      <c r="S37" s="4">
        <v>0</v>
      </c>
      <c r="T37" s="4">
        <v>0</v>
      </c>
      <c r="U37" s="24">
        <v>0</v>
      </c>
      <c r="V37" s="4">
        <v>13319</v>
      </c>
      <c r="W37" s="4">
        <v>0</v>
      </c>
      <c r="X37" s="2"/>
      <c r="Y37" s="5" t="s">
        <v>2</v>
      </c>
      <c r="Z37" s="5" t="s">
        <v>599</v>
      </c>
      <c r="AA37" s="5" t="s">
        <v>824</v>
      </c>
      <c r="AB37" s="21" t="s">
        <v>2</v>
      </c>
      <c r="AC37" s="54" t="s">
        <v>4179</v>
      </c>
    </row>
    <row r="38" spans="2:29" x14ac:dyDescent="0.3">
      <c r="B38" s="18" t="s">
        <v>1847</v>
      </c>
      <c r="C38" s="47" t="s">
        <v>1145</v>
      </c>
      <c r="D38" s="15" t="s">
        <v>2389</v>
      </c>
      <c r="E38" s="55" t="s">
        <v>2</v>
      </c>
      <c r="F38" s="9">
        <v>44622</v>
      </c>
      <c r="G38" s="5" t="s">
        <v>2249</v>
      </c>
      <c r="H38" s="9">
        <v>44641</v>
      </c>
      <c r="I38" s="5" t="s">
        <v>771</v>
      </c>
      <c r="J38" s="4">
        <v>3000000</v>
      </c>
      <c r="K38" s="4">
        <v>2997348</v>
      </c>
      <c r="L38" s="4">
        <v>3104070</v>
      </c>
      <c r="M38" s="4">
        <v>2997453</v>
      </c>
      <c r="N38" s="4">
        <v>0</v>
      </c>
      <c r="O38" s="4">
        <v>105</v>
      </c>
      <c r="P38" s="4">
        <v>0</v>
      </c>
      <c r="Q38" s="24">
        <v>105</v>
      </c>
      <c r="R38" s="4">
        <v>0</v>
      </c>
      <c r="S38" s="4">
        <v>0</v>
      </c>
      <c r="T38" s="4">
        <v>2547</v>
      </c>
      <c r="U38" s="24">
        <v>2547</v>
      </c>
      <c r="V38" s="4">
        <v>120570</v>
      </c>
      <c r="W38" s="4">
        <v>10656</v>
      </c>
      <c r="X38" s="2"/>
      <c r="Y38" s="5" t="s">
        <v>2605</v>
      </c>
      <c r="Z38" s="5" t="s">
        <v>106</v>
      </c>
      <c r="AA38" s="5" t="s">
        <v>824</v>
      </c>
      <c r="AB38" s="21" t="s">
        <v>2</v>
      </c>
      <c r="AC38" s="54" t="s">
        <v>4179</v>
      </c>
    </row>
    <row r="39" spans="2:29" x14ac:dyDescent="0.3">
      <c r="B39" s="18" t="s">
        <v>2982</v>
      </c>
      <c r="C39" s="47" t="s">
        <v>1146</v>
      </c>
      <c r="D39" s="15" t="s">
        <v>2389</v>
      </c>
      <c r="E39" s="55" t="s">
        <v>2</v>
      </c>
      <c r="F39" s="9">
        <v>44622</v>
      </c>
      <c r="G39" s="5" t="s">
        <v>2249</v>
      </c>
      <c r="H39" s="9">
        <v>44641</v>
      </c>
      <c r="I39" s="5" t="s">
        <v>3046</v>
      </c>
      <c r="J39" s="4">
        <v>5000000</v>
      </c>
      <c r="K39" s="4">
        <v>4995095</v>
      </c>
      <c r="L39" s="4">
        <v>5180500</v>
      </c>
      <c r="M39" s="4">
        <v>4995265</v>
      </c>
      <c r="N39" s="4">
        <v>0</v>
      </c>
      <c r="O39" s="4">
        <v>170</v>
      </c>
      <c r="P39" s="4">
        <v>0</v>
      </c>
      <c r="Q39" s="24">
        <v>170</v>
      </c>
      <c r="R39" s="4">
        <v>0</v>
      </c>
      <c r="S39" s="4">
        <v>0</v>
      </c>
      <c r="T39" s="4">
        <v>4735</v>
      </c>
      <c r="U39" s="24">
        <v>4735</v>
      </c>
      <c r="V39" s="4">
        <v>250000</v>
      </c>
      <c r="W39" s="4">
        <v>60916</v>
      </c>
      <c r="X39" s="2"/>
      <c r="Y39" s="5" t="s">
        <v>2605</v>
      </c>
      <c r="Z39" s="5" t="s">
        <v>106</v>
      </c>
      <c r="AA39" s="5" t="s">
        <v>824</v>
      </c>
      <c r="AB39" s="21" t="s">
        <v>2</v>
      </c>
      <c r="AC39" s="54" t="s">
        <v>4179</v>
      </c>
    </row>
    <row r="40" spans="2:29" x14ac:dyDescent="0.3">
      <c r="B40" s="18" t="s">
        <v>4122</v>
      </c>
      <c r="C40" s="47" t="s">
        <v>772</v>
      </c>
      <c r="D40" s="15" t="s">
        <v>2389</v>
      </c>
      <c r="E40" s="55" t="s">
        <v>2</v>
      </c>
      <c r="F40" s="9">
        <v>44622</v>
      </c>
      <c r="G40" s="5" t="s">
        <v>2249</v>
      </c>
      <c r="H40" s="9">
        <v>44644</v>
      </c>
      <c r="I40" s="5" t="s">
        <v>255</v>
      </c>
      <c r="J40" s="4">
        <v>2000000</v>
      </c>
      <c r="K40" s="4">
        <v>1975716</v>
      </c>
      <c r="L40" s="4">
        <v>2122080</v>
      </c>
      <c r="M40" s="4">
        <v>1976060</v>
      </c>
      <c r="N40" s="4">
        <v>0</v>
      </c>
      <c r="O40" s="4">
        <v>344</v>
      </c>
      <c r="P40" s="4">
        <v>0</v>
      </c>
      <c r="Q40" s="24">
        <v>344</v>
      </c>
      <c r="R40" s="4">
        <v>0</v>
      </c>
      <c r="S40" s="4">
        <v>0</v>
      </c>
      <c r="T40" s="4">
        <v>23940</v>
      </c>
      <c r="U40" s="24">
        <v>23940</v>
      </c>
      <c r="V40" s="4">
        <v>127200</v>
      </c>
      <c r="W40" s="4">
        <v>222</v>
      </c>
      <c r="X40" s="2"/>
      <c r="Y40" s="5" t="s">
        <v>2605</v>
      </c>
      <c r="Z40" s="5" t="s">
        <v>106</v>
      </c>
      <c r="AA40" s="5" t="s">
        <v>824</v>
      </c>
      <c r="AB40" s="21" t="s">
        <v>2</v>
      </c>
      <c r="AC40" s="54" t="s">
        <v>4179</v>
      </c>
    </row>
    <row r="41" spans="2:29" x14ac:dyDescent="0.3">
      <c r="B41" s="18" t="s">
        <v>710</v>
      </c>
      <c r="C41" s="47" t="s">
        <v>1024</v>
      </c>
      <c r="D41" s="15" t="s">
        <v>3580</v>
      </c>
      <c r="E41" s="55" t="s">
        <v>2</v>
      </c>
      <c r="F41" s="9">
        <v>44750</v>
      </c>
      <c r="G41" s="5" t="s">
        <v>200</v>
      </c>
      <c r="H41" s="9">
        <v>44915</v>
      </c>
      <c r="I41" s="5" t="s">
        <v>2704</v>
      </c>
      <c r="J41" s="4">
        <v>1269826.52</v>
      </c>
      <c r="K41" s="4">
        <v>1269749</v>
      </c>
      <c r="L41" s="4">
        <v>1269827</v>
      </c>
      <c r="M41" s="4">
        <v>1269827</v>
      </c>
      <c r="N41" s="4">
        <v>0</v>
      </c>
      <c r="O41" s="4">
        <v>77</v>
      </c>
      <c r="P41" s="4">
        <v>0</v>
      </c>
      <c r="Q41" s="24">
        <v>77</v>
      </c>
      <c r="R41" s="4">
        <v>0</v>
      </c>
      <c r="S41" s="4">
        <v>0</v>
      </c>
      <c r="T41" s="4">
        <v>0</v>
      </c>
      <c r="U41" s="24">
        <v>0</v>
      </c>
      <c r="V41" s="4">
        <v>14313</v>
      </c>
      <c r="W41" s="4">
        <v>0</v>
      </c>
      <c r="X41" s="2"/>
      <c r="Y41" s="5" t="s">
        <v>2</v>
      </c>
      <c r="Z41" s="5" t="s">
        <v>2668</v>
      </c>
      <c r="AA41" s="5" t="s">
        <v>824</v>
      </c>
      <c r="AB41" s="21" t="s">
        <v>2</v>
      </c>
      <c r="AC41" s="54" t="s">
        <v>4179</v>
      </c>
    </row>
    <row r="42" spans="2:29" x14ac:dyDescent="0.3">
      <c r="B42" s="18" t="s">
        <v>1848</v>
      </c>
      <c r="C42" s="47" t="s">
        <v>1025</v>
      </c>
      <c r="D42" s="15" t="s">
        <v>3580</v>
      </c>
      <c r="E42" s="55" t="s">
        <v>2</v>
      </c>
      <c r="F42" s="9">
        <v>44750</v>
      </c>
      <c r="G42" s="5" t="s">
        <v>200</v>
      </c>
      <c r="H42" s="9">
        <v>44915</v>
      </c>
      <c r="I42" s="5" t="s">
        <v>2704</v>
      </c>
      <c r="J42" s="4">
        <v>1330294.45</v>
      </c>
      <c r="K42" s="4">
        <v>1330077</v>
      </c>
      <c r="L42" s="4">
        <v>1330294</v>
      </c>
      <c r="M42" s="4">
        <v>1330294</v>
      </c>
      <c r="N42" s="4">
        <v>0</v>
      </c>
      <c r="O42" s="4">
        <v>217</v>
      </c>
      <c r="P42" s="4">
        <v>0</v>
      </c>
      <c r="Q42" s="24">
        <v>217</v>
      </c>
      <c r="R42" s="4">
        <v>0</v>
      </c>
      <c r="S42" s="4">
        <v>0</v>
      </c>
      <c r="T42" s="4">
        <v>0</v>
      </c>
      <c r="U42" s="24">
        <v>0</v>
      </c>
      <c r="V42" s="4">
        <v>15977</v>
      </c>
      <c r="W42" s="4">
        <v>0</v>
      </c>
      <c r="X42" s="2"/>
      <c r="Y42" s="5" t="s">
        <v>2</v>
      </c>
      <c r="Z42" s="5" t="s">
        <v>2668</v>
      </c>
      <c r="AA42" s="5" t="s">
        <v>824</v>
      </c>
      <c r="AB42" s="21" t="s">
        <v>2</v>
      </c>
      <c r="AC42" s="54" t="s">
        <v>4179</v>
      </c>
    </row>
    <row r="43" spans="2:29" x14ac:dyDescent="0.3">
      <c r="B43" s="18" t="s">
        <v>2983</v>
      </c>
      <c r="C43" s="47" t="s">
        <v>3809</v>
      </c>
      <c r="D43" s="15" t="s">
        <v>4086</v>
      </c>
      <c r="E43" s="55" t="s">
        <v>2</v>
      </c>
      <c r="F43" s="9">
        <v>44846</v>
      </c>
      <c r="G43" s="5" t="s">
        <v>208</v>
      </c>
      <c r="H43" s="9">
        <v>44915</v>
      </c>
      <c r="I43" s="5" t="s">
        <v>2704</v>
      </c>
      <c r="J43" s="4">
        <v>533586.38</v>
      </c>
      <c r="K43" s="4">
        <v>533441</v>
      </c>
      <c r="L43" s="4">
        <v>533586</v>
      </c>
      <c r="M43" s="4">
        <v>533586</v>
      </c>
      <c r="N43" s="4">
        <v>0</v>
      </c>
      <c r="O43" s="4">
        <v>146</v>
      </c>
      <c r="P43" s="4">
        <v>0</v>
      </c>
      <c r="Q43" s="24">
        <v>146</v>
      </c>
      <c r="R43" s="4">
        <v>0</v>
      </c>
      <c r="S43" s="4">
        <v>0</v>
      </c>
      <c r="T43" s="4">
        <v>0</v>
      </c>
      <c r="U43" s="24">
        <v>0</v>
      </c>
      <c r="V43" s="4">
        <v>3549</v>
      </c>
      <c r="W43" s="4">
        <v>0</v>
      </c>
      <c r="X43" s="2"/>
      <c r="Y43" s="5" t="s">
        <v>2</v>
      </c>
      <c r="Z43" s="5" t="s">
        <v>3582</v>
      </c>
      <c r="AA43" s="5" t="s">
        <v>824</v>
      </c>
      <c r="AB43" s="21" t="s">
        <v>2</v>
      </c>
      <c r="AC43" s="54" t="s">
        <v>4179</v>
      </c>
    </row>
    <row r="44" spans="2:29" x14ac:dyDescent="0.3">
      <c r="B44" s="18" t="s">
        <v>4455</v>
      </c>
      <c r="C44" s="47" t="s">
        <v>3810</v>
      </c>
      <c r="D44" s="15" t="s">
        <v>4086</v>
      </c>
      <c r="E44" s="55" t="s">
        <v>2</v>
      </c>
      <c r="F44" s="9">
        <v>44846</v>
      </c>
      <c r="G44" s="5" t="s">
        <v>208</v>
      </c>
      <c r="H44" s="9">
        <v>44915</v>
      </c>
      <c r="I44" s="5" t="s">
        <v>2704</v>
      </c>
      <c r="J44" s="4">
        <v>533586.38</v>
      </c>
      <c r="K44" s="4">
        <v>533480</v>
      </c>
      <c r="L44" s="4">
        <v>533586</v>
      </c>
      <c r="M44" s="4">
        <v>533586</v>
      </c>
      <c r="N44" s="4">
        <v>0</v>
      </c>
      <c r="O44" s="4">
        <v>106</v>
      </c>
      <c r="P44" s="4">
        <v>0</v>
      </c>
      <c r="Q44" s="24">
        <v>106</v>
      </c>
      <c r="R44" s="4">
        <v>0</v>
      </c>
      <c r="S44" s="4">
        <v>0</v>
      </c>
      <c r="T44" s="4">
        <v>0</v>
      </c>
      <c r="U44" s="24">
        <v>0</v>
      </c>
      <c r="V44" s="4">
        <v>3848</v>
      </c>
      <c r="W44" s="4">
        <v>0</v>
      </c>
      <c r="X44" s="2"/>
      <c r="Y44" s="5" t="s">
        <v>2</v>
      </c>
      <c r="Z44" s="5" t="s">
        <v>3582</v>
      </c>
      <c r="AA44" s="5" t="s">
        <v>824</v>
      </c>
      <c r="AB44" s="21" t="s">
        <v>2</v>
      </c>
      <c r="AC44" s="54" t="s">
        <v>4179</v>
      </c>
    </row>
    <row r="45" spans="2:29" x14ac:dyDescent="0.3">
      <c r="B45" s="18" t="s">
        <v>1059</v>
      </c>
      <c r="C45" s="47" t="s">
        <v>2148</v>
      </c>
      <c r="D45" s="15" t="s">
        <v>2448</v>
      </c>
      <c r="E45" s="55" t="s">
        <v>2</v>
      </c>
      <c r="F45" s="9">
        <v>44601</v>
      </c>
      <c r="G45" s="5" t="s">
        <v>2199</v>
      </c>
      <c r="H45" s="9">
        <v>44890</v>
      </c>
      <c r="I45" s="5" t="s">
        <v>2704</v>
      </c>
      <c r="J45" s="4">
        <v>50000</v>
      </c>
      <c r="K45" s="4">
        <v>47531</v>
      </c>
      <c r="L45" s="4">
        <v>50000</v>
      </c>
      <c r="M45" s="4">
        <v>50000</v>
      </c>
      <c r="N45" s="4">
        <v>0</v>
      </c>
      <c r="O45" s="4">
        <v>2469</v>
      </c>
      <c r="P45" s="4">
        <v>0</v>
      </c>
      <c r="Q45" s="24">
        <v>2469</v>
      </c>
      <c r="R45" s="4">
        <v>0</v>
      </c>
      <c r="S45" s="4">
        <v>0</v>
      </c>
      <c r="T45" s="4">
        <v>0</v>
      </c>
      <c r="U45" s="24">
        <v>0</v>
      </c>
      <c r="V45" s="4">
        <v>794</v>
      </c>
      <c r="W45" s="4">
        <v>268</v>
      </c>
      <c r="X45" s="2"/>
      <c r="Y45" s="5" t="s">
        <v>2</v>
      </c>
      <c r="Z45" s="5" t="s">
        <v>4428</v>
      </c>
      <c r="AA45" s="5" t="s">
        <v>824</v>
      </c>
      <c r="AB45" s="21" t="s">
        <v>2</v>
      </c>
      <c r="AC45" s="54" t="s">
        <v>4179</v>
      </c>
    </row>
    <row r="46" spans="2:29" x14ac:dyDescent="0.3">
      <c r="B46" s="18" t="s">
        <v>2181</v>
      </c>
      <c r="C46" s="47" t="s">
        <v>2734</v>
      </c>
      <c r="D46" s="15" t="s">
        <v>4007</v>
      </c>
      <c r="E46" s="55" t="s">
        <v>2</v>
      </c>
      <c r="F46" s="9">
        <v>44739</v>
      </c>
      <c r="G46" s="5" t="s">
        <v>200</v>
      </c>
      <c r="H46" s="9">
        <v>44810</v>
      </c>
      <c r="I46" s="5" t="s">
        <v>457</v>
      </c>
      <c r="J46" s="4">
        <v>5000000</v>
      </c>
      <c r="K46" s="4">
        <v>4999400</v>
      </c>
      <c r="L46" s="4">
        <v>4995350</v>
      </c>
      <c r="M46" s="4">
        <v>4999412</v>
      </c>
      <c r="N46" s="4">
        <v>0</v>
      </c>
      <c r="O46" s="4">
        <v>12</v>
      </c>
      <c r="P46" s="4">
        <v>0</v>
      </c>
      <c r="Q46" s="24">
        <v>12</v>
      </c>
      <c r="R46" s="4">
        <v>0</v>
      </c>
      <c r="S46" s="4">
        <v>0</v>
      </c>
      <c r="T46" s="4">
        <v>-4062</v>
      </c>
      <c r="U46" s="24">
        <v>-4062</v>
      </c>
      <c r="V46" s="4">
        <v>42028</v>
      </c>
      <c r="W46" s="4">
        <v>0</v>
      </c>
      <c r="X46" s="2"/>
      <c r="Y46" s="5" t="s">
        <v>610</v>
      </c>
      <c r="Z46" s="5" t="s">
        <v>4007</v>
      </c>
      <c r="AA46" s="5" t="s">
        <v>2</v>
      </c>
      <c r="AB46" s="21" t="s">
        <v>2</v>
      </c>
      <c r="AC46" s="54" t="s">
        <v>4179</v>
      </c>
    </row>
    <row r="47" spans="2:29" x14ac:dyDescent="0.3">
      <c r="B47" s="18" t="s">
        <v>4123</v>
      </c>
      <c r="C47" s="47" t="s">
        <v>773</v>
      </c>
      <c r="D47" s="15" t="s">
        <v>774</v>
      </c>
      <c r="E47" s="55" t="s">
        <v>2</v>
      </c>
      <c r="F47" s="9">
        <v>44587</v>
      </c>
      <c r="G47" s="5" t="s">
        <v>1349</v>
      </c>
      <c r="H47" s="9">
        <v>44925</v>
      </c>
      <c r="I47" s="5" t="s">
        <v>4453</v>
      </c>
      <c r="J47" s="4">
        <v>3000000</v>
      </c>
      <c r="K47" s="4">
        <v>2879520</v>
      </c>
      <c r="L47" s="4">
        <v>2890842</v>
      </c>
      <c r="M47" s="4">
        <v>2890842</v>
      </c>
      <c r="N47" s="4">
        <v>0</v>
      </c>
      <c r="O47" s="4">
        <v>11322</v>
      </c>
      <c r="P47" s="4">
        <v>0</v>
      </c>
      <c r="Q47" s="24">
        <v>11322</v>
      </c>
      <c r="R47" s="4">
        <v>0</v>
      </c>
      <c r="S47" s="4">
        <v>0</v>
      </c>
      <c r="T47" s="4">
        <v>0</v>
      </c>
      <c r="U47" s="24">
        <v>0</v>
      </c>
      <c r="V47" s="4">
        <v>96063</v>
      </c>
      <c r="W47" s="4">
        <v>22746</v>
      </c>
      <c r="X47" s="2"/>
      <c r="Y47" s="5" t="s">
        <v>1758</v>
      </c>
      <c r="Z47" s="5" t="s">
        <v>2077</v>
      </c>
      <c r="AA47" s="5" t="s">
        <v>824</v>
      </c>
      <c r="AB47" s="21" t="s">
        <v>2</v>
      </c>
      <c r="AC47" s="54" t="s">
        <v>4179</v>
      </c>
    </row>
    <row r="48" spans="2:29" x14ac:dyDescent="0.3">
      <c r="B48" s="7" t="s">
        <v>2744</v>
      </c>
      <c r="C48" s="1" t="s">
        <v>2744</v>
      </c>
      <c r="D48" s="8" t="s">
        <v>2744</v>
      </c>
      <c r="E48" s="1" t="s">
        <v>2744</v>
      </c>
      <c r="F48" s="1" t="s">
        <v>2744</v>
      </c>
      <c r="G48" s="1" t="s">
        <v>2744</v>
      </c>
      <c r="H48" s="1" t="s">
        <v>2744</v>
      </c>
      <c r="I48" s="1" t="s">
        <v>2744</v>
      </c>
      <c r="J48" s="1" t="s">
        <v>2744</v>
      </c>
      <c r="K48" s="1" t="s">
        <v>2744</v>
      </c>
      <c r="L48" s="1" t="s">
        <v>2744</v>
      </c>
      <c r="M48" s="1" t="s">
        <v>2744</v>
      </c>
      <c r="N48" s="1" t="s">
        <v>2744</v>
      </c>
      <c r="O48" s="1" t="s">
        <v>2744</v>
      </c>
      <c r="P48" s="1" t="s">
        <v>2744</v>
      </c>
      <c r="Q48" s="1" t="s">
        <v>2744</v>
      </c>
      <c r="R48" s="1" t="s">
        <v>2744</v>
      </c>
      <c r="S48" s="1" t="s">
        <v>2744</v>
      </c>
      <c r="T48" s="1" t="s">
        <v>2744</v>
      </c>
      <c r="U48" s="1" t="s">
        <v>2744</v>
      </c>
      <c r="V48" s="1" t="s">
        <v>2744</v>
      </c>
      <c r="W48" s="1" t="s">
        <v>2744</v>
      </c>
      <c r="X48" s="1" t="s">
        <v>2744</v>
      </c>
      <c r="Y48" s="1" t="s">
        <v>2744</v>
      </c>
      <c r="Z48" s="1" t="s">
        <v>2744</v>
      </c>
      <c r="AA48" s="1" t="s">
        <v>2744</v>
      </c>
      <c r="AB48" s="1" t="s">
        <v>2744</v>
      </c>
      <c r="AC48" s="1" t="s">
        <v>2744</v>
      </c>
    </row>
    <row r="49" spans="2:29" ht="42" x14ac:dyDescent="0.3">
      <c r="B49" s="19" t="s">
        <v>2684</v>
      </c>
      <c r="C49" s="17" t="s">
        <v>460</v>
      </c>
      <c r="D49" s="16"/>
      <c r="E49" s="2"/>
      <c r="F49" s="2"/>
      <c r="G49" s="2"/>
      <c r="H49" s="2"/>
      <c r="I49" s="2"/>
      <c r="J49" s="3">
        <f>SUM(GMIC_22A_SCDPT5!SCDPT5_110BEGINNG_8:GMIC_22A_SCDPT5!SCDPT5_110ENDINGG_8)</f>
        <v>26779881.629999995</v>
      </c>
      <c r="K49" s="3">
        <f>SUM(GMIC_22A_SCDPT5!SCDPT5_110BEGINNG_9:GMIC_22A_SCDPT5!SCDPT5_110ENDINGG_9)</f>
        <v>26612957</v>
      </c>
      <c r="L49" s="3">
        <f>SUM(GMIC_22A_SCDPT5!SCDPT5_110BEGINNG_10:GMIC_22A_SCDPT5!SCDPT5_110ENDINGG_10)</f>
        <v>27072723</v>
      </c>
      <c r="M49" s="3">
        <f>SUM(GMIC_22A_SCDPT5!SCDPT5_110BEGINNG_11:GMIC_22A_SCDPT5!SCDPT5_110ENDINGG_11)</f>
        <v>26638913</v>
      </c>
      <c r="N49" s="3">
        <f>SUM(GMIC_22A_SCDPT5!SCDPT5_110BEGINNG_12:GMIC_22A_SCDPT5!SCDPT5_110ENDINGG_12)</f>
        <v>0</v>
      </c>
      <c r="O49" s="3">
        <f>SUM(GMIC_22A_SCDPT5!SCDPT5_110BEGINNG_13:GMIC_22A_SCDPT5!SCDPT5_110ENDINGG_13)</f>
        <v>25956</v>
      </c>
      <c r="P49" s="3">
        <f>SUM(GMIC_22A_SCDPT5!SCDPT5_110BEGINNG_14:GMIC_22A_SCDPT5!SCDPT5_110ENDINGG_14)</f>
        <v>0</v>
      </c>
      <c r="Q49" s="3">
        <f>SUM(GMIC_22A_SCDPT5!SCDPT5_110BEGINNG_15:GMIC_22A_SCDPT5!SCDPT5_110ENDINGG_15)</f>
        <v>25956</v>
      </c>
      <c r="R49" s="3">
        <f>SUM(GMIC_22A_SCDPT5!SCDPT5_110BEGINNG_16:GMIC_22A_SCDPT5!SCDPT5_110ENDINGG_16)</f>
        <v>0</v>
      </c>
      <c r="S49" s="3">
        <f>SUM(GMIC_22A_SCDPT5!SCDPT5_110BEGINNG_17:GMIC_22A_SCDPT5!SCDPT5_110ENDINGG_17)</f>
        <v>0</v>
      </c>
      <c r="T49" s="3">
        <f>SUM(GMIC_22A_SCDPT5!SCDPT5_110BEGINNG_18:GMIC_22A_SCDPT5!SCDPT5_110ENDINGG_18)</f>
        <v>27160</v>
      </c>
      <c r="U49" s="3">
        <f>SUM(GMIC_22A_SCDPT5!SCDPT5_110BEGINNG_19:GMIC_22A_SCDPT5!SCDPT5_110ENDINGG_19)</f>
        <v>27160</v>
      </c>
      <c r="V49" s="3">
        <f>SUM(GMIC_22A_SCDPT5!SCDPT5_110BEGINNG_20:GMIC_22A_SCDPT5!SCDPT5_110ENDINGG_20)</f>
        <v>745083</v>
      </c>
      <c r="W49" s="3">
        <f>SUM(GMIC_22A_SCDPT5!SCDPT5_110BEGINNG_21:GMIC_22A_SCDPT5!SCDPT5_110ENDINGG_21)</f>
        <v>94808</v>
      </c>
      <c r="X49" s="2"/>
      <c r="Y49" s="2"/>
      <c r="Z49" s="2"/>
      <c r="AA49" s="2"/>
      <c r="AB49" s="2"/>
      <c r="AC49" s="2"/>
    </row>
    <row r="50" spans="2:29" x14ac:dyDescent="0.3">
      <c r="B50" s="7" t="s">
        <v>2744</v>
      </c>
      <c r="C50" s="1" t="s">
        <v>2744</v>
      </c>
      <c r="D50" s="8" t="s">
        <v>2744</v>
      </c>
      <c r="E50" s="1" t="s">
        <v>2744</v>
      </c>
      <c r="F50" s="1" t="s">
        <v>2744</v>
      </c>
      <c r="G50" s="1" t="s">
        <v>2744</v>
      </c>
      <c r="H50" s="1" t="s">
        <v>2744</v>
      </c>
      <c r="I50" s="1" t="s">
        <v>2744</v>
      </c>
      <c r="J50" s="1" t="s">
        <v>2744</v>
      </c>
      <c r="K50" s="1" t="s">
        <v>2744</v>
      </c>
      <c r="L50" s="1" t="s">
        <v>2744</v>
      </c>
      <c r="M50" s="1" t="s">
        <v>2744</v>
      </c>
      <c r="N50" s="1" t="s">
        <v>2744</v>
      </c>
      <c r="O50" s="1" t="s">
        <v>2744</v>
      </c>
      <c r="P50" s="1" t="s">
        <v>2744</v>
      </c>
      <c r="Q50" s="1" t="s">
        <v>2744</v>
      </c>
      <c r="R50" s="1" t="s">
        <v>2744</v>
      </c>
      <c r="S50" s="1" t="s">
        <v>2744</v>
      </c>
      <c r="T50" s="1" t="s">
        <v>2744</v>
      </c>
      <c r="U50" s="1" t="s">
        <v>2744</v>
      </c>
      <c r="V50" s="1" t="s">
        <v>2744</v>
      </c>
      <c r="W50" s="1" t="s">
        <v>2744</v>
      </c>
      <c r="X50" s="1" t="s">
        <v>2744</v>
      </c>
      <c r="Y50" s="1" t="s">
        <v>2744</v>
      </c>
      <c r="Z50" s="1" t="s">
        <v>2744</v>
      </c>
      <c r="AA50" s="1" t="s">
        <v>2744</v>
      </c>
      <c r="AB50" s="1" t="s">
        <v>2744</v>
      </c>
      <c r="AC50" s="1" t="s">
        <v>2744</v>
      </c>
    </row>
    <row r="51" spans="2:29" x14ac:dyDescent="0.3">
      <c r="B51" s="18" t="s">
        <v>2486</v>
      </c>
      <c r="C51" s="25" t="s">
        <v>3897</v>
      </c>
      <c r="D51" s="15" t="s">
        <v>2</v>
      </c>
      <c r="E51" s="20" t="s">
        <v>2</v>
      </c>
      <c r="F51" s="6"/>
      <c r="G51" s="5" t="s">
        <v>2</v>
      </c>
      <c r="H51" s="6"/>
      <c r="I51" s="5" t="s">
        <v>2</v>
      </c>
      <c r="J51" s="4"/>
      <c r="K51" s="4"/>
      <c r="L51" s="4"/>
      <c r="M51" s="4"/>
      <c r="N51" s="4"/>
      <c r="O51" s="4"/>
      <c r="P51" s="4"/>
      <c r="Q51" s="24"/>
      <c r="R51" s="4"/>
      <c r="S51" s="4"/>
      <c r="T51" s="4"/>
      <c r="U51" s="24"/>
      <c r="V51" s="4"/>
      <c r="W51" s="4"/>
      <c r="X51" s="2"/>
      <c r="Y51" s="5" t="s">
        <v>2</v>
      </c>
      <c r="Z51" s="5" t="s">
        <v>2</v>
      </c>
      <c r="AA51" s="5" t="s">
        <v>2</v>
      </c>
      <c r="AB51" s="21" t="s">
        <v>2</v>
      </c>
      <c r="AC51" s="26" t="s">
        <v>2</v>
      </c>
    </row>
    <row r="52" spans="2:29" x14ac:dyDescent="0.3">
      <c r="B52" s="7" t="s">
        <v>2744</v>
      </c>
      <c r="C52" s="1" t="s">
        <v>2744</v>
      </c>
      <c r="D52" s="8" t="s">
        <v>2744</v>
      </c>
      <c r="E52" s="1" t="s">
        <v>2744</v>
      </c>
      <c r="F52" s="1" t="s">
        <v>2744</v>
      </c>
      <c r="G52" s="1" t="s">
        <v>2744</v>
      </c>
      <c r="H52" s="1" t="s">
        <v>2744</v>
      </c>
      <c r="I52" s="1" t="s">
        <v>2744</v>
      </c>
      <c r="J52" s="1" t="s">
        <v>2744</v>
      </c>
      <c r="K52" s="1" t="s">
        <v>2744</v>
      </c>
      <c r="L52" s="1" t="s">
        <v>2744</v>
      </c>
      <c r="M52" s="1" t="s">
        <v>2744</v>
      </c>
      <c r="N52" s="1" t="s">
        <v>2744</v>
      </c>
      <c r="O52" s="1" t="s">
        <v>2744</v>
      </c>
      <c r="P52" s="1" t="s">
        <v>2744</v>
      </c>
      <c r="Q52" s="1" t="s">
        <v>2744</v>
      </c>
      <c r="R52" s="1" t="s">
        <v>2744</v>
      </c>
      <c r="S52" s="1" t="s">
        <v>2744</v>
      </c>
      <c r="T52" s="1" t="s">
        <v>2744</v>
      </c>
      <c r="U52" s="1" t="s">
        <v>2744</v>
      </c>
      <c r="V52" s="1" t="s">
        <v>2744</v>
      </c>
      <c r="W52" s="1" t="s">
        <v>2744</v>
      </c>
      <c r="X52" s="1" t="s">
        <v>2744</v>
      </c>
      <c r="Y52" s="1" t="s">
        <v>2744</v>
      </c>
      <c r="Z52" s="1" t="s">
        <v>2744</v>
      </c>
      <c r="AA52" s="1" t="s">
        <v>2744</v>
      </c>
      <c r="AB52" s="1" t="s">
        <v>2744</v>
      </c>
      <c r="AC52" s="1" t="s">
        <v>2744</v>
      </c>
    </row>
    <row r="53" spans="2:29" ht="28" x14ac:dyDescent="0.3">
      <c r="B53" s="19" t="s">
        <v>3301</v>
      </c>
      <c r="C53" s="17" t="s">
        <v>461</v>
      </c>
      <c r="D53" s="16"/>
      <c r="E53" s="2"/>
      <c r="F53" s="2"/>
      <c r="G53" s="2"/>
      <c r="H53" s="2"/>
      <c r="I53" s="2"/>
      <c r="J53" s="3">
        <f>SUM(GMIC_22A_SCDPT5!SCDPT5_130BEGINNG_8:GMIC_22A_SCDPT5!SCDPT5_130ENDINGG_8)</f>
        <v>0</v>
      </c>
      <c r="K53" s="3">
        <f>SUM(GMIC_22A_SCDPT5!SCDPT5_130BEGINNG_9:GMIC_22A_SCDPT5!SCDPT5_130ENDINGG_9)</f>
        <v>0</v>
      </c>
      <c r="L53" s="3">
        <f>SUM(GMIC_22A_SCDPT5!SCDPT5_130BEGINNG_10:GMIC_22A_SCDPT5!SCDPT5_130ENDINGG_10)</f>
        <v>0</v>
      </c>
      <c r="M53" s="3">
        <f>SUM(GMIC_22A_SCDPT5!SCDPT5_130BEGINNG_11:GMIC_22A_SCDPT5!SCDPT5_130ENDINGG_11)</f>
        <v>0</v>
      </c>
      <c r="N53" s="3">
        <f>SUM(GMIC_22A_SCDPT5!SCDPT5_130BEGINNG_12:GMIC_22A_SCDPT5!SCDPT5_130ENDINGG_12)</f>
        <v>0</v>
      </c>
      <c r="O53" s="3">
        <f>SUM(GMIC_22A_SCDPT5!SCDPT5_130BEGINNG_13:GMIC_22A_SCDPT5!SCDPT5_130ENDINGG_13)</f>
        <v>0</v>
      </c>
      <c r="P53" s="3">
        <f>SUM(GMIC_22A_SCDPT5!SCDPT5_130BEGINNG_14:GMIC_22A_SCDPT5!SCDPT5_130ENDINGG_14)</f>
        <v>0</v>
      </c>
      <c r="Q53" s="3">
        <f>SUM(GMIC_22A_SCDPT5!SCDPT5_130BEGINNG_15:GMIC_22A_SCDPT5!SCDPT5_130ENDINGG_15)</f>
        <v>0</v>
      </c>
      <c r="R53" s="3">
        <f>SUM(GMIC_22A_SCDPT5!SCDPT5_130BEGINNG_16:GMIC_22A_SCDPT5!SCDPT5_130ENDINGG_16)</f>
        <v>0</v>
      </c>
      <c r="S53" s="3">
        <f>SUM(GMIC_22A_SCDPT5!SCDPT5_130BEGINNG_17:GMIC_22A_SCDPT5!SCDPT5_130ENDINGG_17)</f>
        <v>0</v>
      </c>
      <c r="T53" s="3">
        <f>SUM(GMIC_22A_SCDPT5!SCDPT5_130BEGINNG_18:GMIC_22A_SCDPT5!SCDPT5_130ENDINGG_18)</f>
        <v>0</v>
      </c>
      <c r="U53" s="3">
        <f>SUM(GMIC_22A_SCDPT5!SCDPT5_130BEGINNG_19:GMIC_22A_SCDPT5!SCDPT5_130ENDINGG_19)</f>
        <v>0</v>
      </c>
      <c r="V53" s="3">
        <f>SUM(GMIC_22A_SCDPT5!SCDPT5_130BEGINNG_20:GMIC_22A_SCDPT5!SCDPT5_130ENDINGG_20)</f>
        <v>0</v>
      </c>
      <c r="W53" s="3">
        <f>SUM(GMIC_22A_SCDPT5!SCDPT5_130BEGINNG_21:GMIC_22A_SCDPT5!SCDPT5_130ENDINGG_21)</f>
        <v>0</v>
      </c>
      <c r="X53" s="2"/>
      <c r="Y53" s="2"/>
      <c r="Z53" s="2"/>
      <c r="AA53" s="2"/>
      <c r="AB53" s="2"/>
      <c r="AC53" s="2"/>
    </row>
    <row r="54" spans="2:29" x14ac:dyDescent="0.3">
      <c r="B54" s="7" t="s">
        <v>2744</v>
      </c>
      <c r="C54" s="1" t="s">
        <v>2744</v>
      </c>
      <c r="D54" s="8" t="s">
        <v>2744</v>
      </c>
      <c r="E54" s="1" t="s">
        <v>2744</v>
      </c>
      <c r="F54" s="1" t="s">
        <v>2744</v>
      </c>
      <c r="G54" s="1" t="s">
        <v>2744</v>
      </c>
      <c r="H54" s="1" t="s">
        <v>2744</v>
      </c>
      <c r="I54" s="1" t="s">
        <v>2744</v>
      </c>
      <c r="J54" s="1" t="s">
        <v>2744</v>
      </c>
      <c r="K54" s="1" t="s">
        <v>2744</v>
      </c>
      <c r="L54" s="1" t="s">
        <v>2744</v>
      </c>
      <c r="M54" s="1" t="s">
        <v>2744</v>
      </c>
      <c r="N54" s="1" t="s">
        <v>2744</v>
      </c>
      <c r="O54" s="1" t="s">
        <v>2744</v>
      </c>
      <c r="P54" s="1" t="s">
        <v>2744</v>
      </c>
      <c r="Q54" s="1" t="s">
        <v>2744</v>
      </c>
      <c r="R54" s="1" t="s">
        <v>2744</v>
      </c>
      <c r="S54" s="1" t="s">
        <v>2744</v>
      </c>
      <c r="T54" s="1" t="s">
        <v>2744</v>
      </c>
      <c r="U54" s="1" t="s">
        <v>2744</v>
      </c>
      <c r="V54" s="1" t="s">
        <v>2744</v>
      </c>
      <c r="W54" s="1" t="s">
        <v>2744</v>
      </c>
      <c r="X54" s="1" t="s">
        <v>2744</v>
      </c>
      <c r="Y54" s="1" t="s">
        <v>2744</v>
      </c>
      <c r="Z54" s="1" t="s">
        <v>2744</v>
      </c>
      <c r="AA54" s="1" t="s">
        <v>2744</v>
      </c>
      <c r="AB54" s="1" t="s">
        <v>2744</v>
      </c>
      <c r="AC54" s="1" t="s">
        <v>2744</v>
      </c>
    </row>
    <row r="55" spans="2:29" x14ac:dyDescent="0.3">
      <c r="B55" s="18" t="s">
        <v>2998</v>
      </c>
      <c r="C55" s="25" t="s">
        <v>3897</v>
      </c>
      <c r="D55" s="15" t="s">
        <v>2</v>
      </c>
      <c r="E55" s="20" t="s">
        <v>2</v>
      </c>
      <c r="F55" s="6"/>
      <c r="G55" s="5" t="s">
        <v>2</v>
      </c>
      <c r="H55" s="6"/>
      <c r="I55" s="5" t="s">
        <v>2</v>
      </c>
      <c r="J55" s="4"/>
      <c r="K55" s="4"/>
      <c r="L55" s="4"/>
      <c r="M55" s="4"/>
      <c r="N55" s="4"/>
      <c r="O55" s="4"/>
      <c r="P55" s="4"/>
      <c r="Q55" s="24"/>
      <c r="R55" s="4"/>
      <c r="S55" s="4"/>
      <c r="T55" s="4"/>
      <c r="U55" s="24"/>
      <c r="V55" s="4"/>
      <c r="W55" s="4"/>
      <c r="X55" s="2"/>
      <c r="Y55" s="5" t="s">
        <v>2</v>
      </c>
      <c r="Z55" s="5" t="s">
        <v>2</v>
      </c>
      <c r="AA55" s="5" t="s">
        <v>2</v>
      </c>
      <c r="AB55" s="21" t="s">
        <v>2</v>
      </c>
      <c r="AC55" s="26" t="s">
        <v>2</v>
      </c>
    </row>
    <row r="56" spans="2:29" x14ac:dyDescent="0.3">
      <c r="B56" s="7" t="s">
        <v>2744</v>
      </c>
      <c r="C56" s="1" t="s">
        <v>2744</v>
      </c>
      <c r="D56" s="8" t="s">
        <v>2744</v>
      </c>
      <c r="E56" s="1" t="s">
        <v>2744</v>
      </c>
      <c r="F56" s="1" t="s">
        <v>2744</v>
      </c>
      <c r="G56" s="1" t="s">
        <v>2744</v>
      </c>
      <c r="H56" s="1" t="s">
        <v>2744</v>
      </c>
      <c r="I56" s="1" t="s">
        <v>2744</v>
      </c>
      <c r="J56" s="1" t="s">
        <v>2744</v>
      </c>
      <c r="K56" s="1" t="s">
        <v>2744</v>
      </c>
      <c r="L56" s="1" t="s">
        <v>2744</v>
      </c>
      <c r="M56" s="1" t="s">
        <v>2744</v>
      </c>
      <c r="N56" s="1" t="s">
        <v>2744</v>
      </c>
      <c r="O56" s="1" t="s">
        <v>2744</v>
      </c>
      <c r="P56" s="1" t="s">
        <v>2744</v>
      </c>
      <c r="Q56" s="1" t="s">
        <v>2744</v>
      </c>
      <c r="R56" s="1" t="s">
        <v>2744</v>
      </c>
      <c r="S56" s="1" t="s">
        <v>2744</v>
      </c>
      <c r="T56" s="1" t="s">
        <v>2744</v>
      </c>
      <c r="U56" s="1" t="s">
        <v>2744</v>
      </c>
      <c r="V56" s="1" t="s">
        <v>2744</v>
      </c>
      <c r="W56" s="1" t="s">
        <v>2744</v>
      </c>
      <c r="X56" s="1" t="s">
        <v>2744</v>
      </c>
      <c r="Y56" s="1" t="s">
        <v>2744</v>
      </c>
      <c r="Z56" s="1" t="s">
        <v>2744</v>
      </c>
      <c r="AA56" s="1" t="s">
        <v>2744</v>
      </c>
      <c r="AB56" s="1" t="s">
        <v>2744</v>
      </c>
      <c r="AC56" s="1" t="s">
        <v>2744</v>
      </c>
    </row>
    <row r="57" spans="2:29" ht="28" x14ac:dyDescent="0.3">
      <c r="B57" s="19" t="s">
        <v>3837</v>
      </c>
      <c r="C57" s="17" t="s">
        <v>1091</v>
      </c>
      <c r="D57" s="16"/>
      <c r="E57" s="2"/>
      <c r="F57" s="2"/>
      <c r="G57" s="2"/>
      <c r="H57" s="2"/>
      <c r="I57" s="2"/>
      <c r="J57" s="3">
        <f>SUM(GMIC_22A_SCDPT5!SCDPT5_150BEGINNG_8:GMIC_22A_SCDPT5!SCDPT5_150ENDINGG_8)</f>
        <v>0</v>
      </c>
      <c r="K57" s="3">
        <f>SUM(GMIC_22A_SCDPT5!SCDPT5_150BEGINNG_9:GMIC_22A_SCDPT5!SCDPT5_150ENDINGG_9)</f>
        <v>0</v>
      </c>
      <c r="L57" s="3">
        <f>SUM(GMIC_22A_SCDPT5!SCDPT5_150BEGINNG_10:GMIC_22A_SCDPT5!SCDPT5_150ENDINGG_10)</f>
        <v>0</v>
      </c>
      <c r="M57" s="3">
        <f>SUM(GMIC_22A_SCDPT5!SCDPT5_150BEGINNG_11:GMIC_22A_SCDPT5!SCDPT5_150ENDINGG_11)</f>
        <v>0</v>
      </c>
      <c r="N57" s="3">
        <f>SUM(GMIC_22A_SCDPT5!SCDPT5_150BEGINNG_12:GMIC_22A_SCDPT5!SCDPT5_150ENDINGG_12)</f>
        <v>0</v>
      </c>
      <c r="O57" s="3">
        <f>SUM(GMIC_22A_SCDPT5!SCDPT5_150BEGINNG_13:GMIC_22A_SCDPT5!SCDPT5_150ENDINGG_13)</f>
        <v>0</v>
      </c>
      <c r="P57" s="3">
        <f>SUM(GMIC_22A_SCDPT5!SCDPT5_150BEGINNG_14:GMIC_22A_SCDPT5!SCDPT5_150ENDINGG_14)</f>
        <v>0</v>
      </c>
      <c r="Q57" s="3">
        <f>SUM(GMIC_22A_SCDPT5!SCDPT5_150BEGINNG_15:GMIC_22A_SCDPT5!SCDPT5_150ENDINGG_15)</f>
        <v>0</v>
      </c>
      <c r="R57" s="3">
        <f>SUM(GMIC_22A_SCDPT5!SCDPT5_150BEGINNG_16:GMIC_22A_SCDPT5!SCDPT5_150ENDINGG_16)</f>
        <v>0</v>
      </c>
      <c r="S57" s="3">
        <f>SUM(GMIC_22A_SCDPT5!SCDPT5_150BEGINNG_17:GMIC_22A_SCDPT5!SCDPT5_150ENDINGG_17)</f>
        <v>0</v>
      </c>
      <c r="T57" s="3">
        <f>SUM(GMIC_22A_SCDPT5!SCDPT5_150BEGINNG_18:GMIC_22A_SCDPT5!SCDPT5_150ENDINGG_18)</f>
        <v>0</v>
      </c>
      <c r="U57" s="3">
        <f>SUM(GMIC_22A_SCDPT5!SCDPT5_150BEGINNG_19:GMIC_22A_SCDPT5!SCDPT5_150ENDINGG_19)</f>
        <v>0</v>
      </c>
      <c r="V57" s="3">
        <f>SUM(GMIC_22A_SCDPT5!SCDPT5_150BEGINNG_20:GMIC_22A_SCDPT5!SCDPT5_150ENDINGG_20)</f>
        <v>0</v>
      </c>
      <c r="W57" s="3">
        <f>SUM(GMIC_22A_SCDPT5!SCDPT5_150BEGINNG_21:GMIC_22A_SCDPT5!SCDPT5_150ENDINGG_21)</f>
        <v>0</v>
      </c>
      <c r="X57" s="2"/>
      <c r="Y57" s="2"/>
      <c r="Z57" s="2"/>
      <c r="AA57" s="2"/>
      <c r="AB57" s="2"/>
      <c r="AC57" s="2"/>
    </row>
    <row r="58" spans="2:29" x14ac:dyDescent="0.3">
      <c r="B58" s="7" t="s">
        <v>2744</v>
      </c>
      <c r="C58" s="1" t="s">
        <v>2744</v>
      </c>
      <c r="D58" s="8" t="s">
        <v>2744</v>
      </c>
      <c r="E58" s="1" t="s">
        <v>2744</v>
      </c>
      <c r="F58" s="1" t="s">
        <v>2744</v>
      </c>
      <c r="G58" s="1" t="s">
        <v>2744</v>
      </c>
      <c r="H58" s="1" t="s">
        <v>2744</v>
      </c>
      <c r="I58" s="1" t="s">
        <v>2744</v>
      </c>
      <c r="J58" s="1" t="s">
        <v>2744</v>
      </c>
      <c r="K58" s="1" t="s">
        <v>2744</v>
      </c>
      <c r="L58" s="1" t="s">
        <v>2744</v>
      </c>
      <c r="M58" s="1" t="s">
        <v>2744</v>
      </c>
      <c r="N58" s="1" t="s">
        <v>2744</v>
      </c>
      <c r="O58" s="1" t="s">
        <v>2744</v>
      </c>
      <c r="P58" s="1" t="s">
        <v>2744</v>
      </c>
      <c r="Q58" s="1" t="s">
        <v>2744</v>
      </c>
      <c r="R58" s="1" t="s">
        <v>2744</v>
      </c>
      <c r="S58" s="1" t="s">
        <v>2744</v>
      </c>
      <c r="T58" s="1" t="s">
        <v>2744</v>
      </c>
      <c r="U58" s="1" t="s">
        <v>2744</v>
      </c>
      <c r="V58" s="1" t="s">
        <v>2744</v>
      </c>
      <c r="W58" s="1" t="s">
        <v>2744</v>
      </c>
      <c r="X58" s="1" t="s">
        <v>2744</v>
      </c>
      <c r="Y58" s="1" t="s">
        <v>2744</v>
      </c>
      <c r="Z58" s="1" t="s">
        <v>2744</v>
      </c>
      <c r="AA58" s="1" t="s">
        <v>2744</v>
      </c>
      <c r="AB58" s="1" t="s">
        <v>2744</v>
      </c>
      <c r="AC58" s="1" t="s">
        <v>2744</v>
      </c>
    </row>
    <row r="59" spans="2:29" x14ac:dyDescent="0.3">
      <c r="B59" s="18" t="s">
        <v>2466</v>
      </c>
      <c r="C59" s="25" t="s">
        <v>3897</v>
      </c>
      <c r="D59" s="15" t="s">
        <v>2</v>
      </c>
      <c r="E59" s="20" t="s">
        <v>2</v>
      </c>
      <c r="F59" s="6"/>
      <c r="G59" s="5" t="s">
        <v>2</v>
      </c>
      <c r="H59" s="6"/>
      <c r="I59" s="5" t="s">
        <v>2</v>
      </c>
      <c r="J59" s="28"/>
      <c r="K59" s="4"/>
      <c r="L59" s="4"/>
      <c r="M59" s="4"/>
      <c r="N59" s="4"/>
      <c r="O59" s="4"/>
      <c r="P59" s="4"/>
      <c r="Q59" s="24"/>
      <c r="R59" s="4"/>
      <c r="S59" s="4"/>
      <c r="T59" s="4"/>
      <c r="U59" s="24"/>
      <c r="V59" s="4"/>
      <c r="W59" s="4"/>
      <c r="X59" s="2"/>
      <c r="Y59" s="5" t="s">
        <v>2</v>
      </c>
      <c r="Z59" s="5" t="s">
        <v>2</v>
      </c>
      <c r="AA59" s="5" t="s">
        <v>2</v>
      </c>
      <c r="AB59" s="21" t="s">
        <v>2</v>
      </c>
      <c r="AC59" s="26" t="s">
        <v>2</v>
      </c>
    </row>
    <row r="60" spans="2:29" x14ac:dyDescent="0.3">
      <c r="B60" s="7" t="s">
        <v>2744</v>
      </c>
      <c r="C60" s="1" t="s">
        <v>2744</v>
      </c>
      <c r="D60" s="8" t="s">
        <v>2744</v>
      </c>
      <c r="E60" s="1" t="s">
        <v>2744</v>
      </c>
      <c r="F60" s="1" t="s">
        <v>2744</v>
      </c>
      <c r="G60" s="1" t="s">
        <v>2744</v>
      </c>
      <c r="H60" s="1" t="s">
        <v>2744</v>
      </c>
      <c r="I60" s="1" t="s">
        <v>2744</v>
      </c>
      <c r="J60" s="1" t="s">
        <v>2744</v>
      </c>
      <c r="K60" s="1" t="s">
        <v>2744</v>
      </c>
      <c r="L60" s="1" t="s">
        <v>2744</v>
      </c>
      <c r="M60" s="1" t="s">
        <v>2744</v>
      </c>
      <c r="N60" s="1" t="s">
        <v>2744</v>
      </c>
      <c r="O60" s="1" t="s">
        <v>2744</v>
      </c>
      <c r="P60" s="1" t="s">
        <v>2744</v>
      </c>
      <c r="Q60" s="1" t="s">
        <v>2744</v>
      </c>
      <c r="R60" s="1" t="s">
        <v>2744</v>
      </c>
      <c r="S60" s="1" t="s">
        <v>2744</v>
      </c>
      <c r="T60" s="1" t="s">
        <v>2744</v>
      </c>
      <c r="U60" s="1" t="s">
        <v>2744</v>
      </c>
      <c r="V60" s="1" t="s">
        <v>2744</v>
      </c>
      <c r="W60" s="1" t="s">
        <v>2744</v>
      </c>
      <c r="X60" s="1" t="s">
        <v>2744</v>
      </c>
      <c r="Y60" s="1" t="s">
        <v>2744</v>
      </c>
      <c r="Z60" s="1" t="s">
        <v>2744</v>
      </c>
      <c r="AA60" s="1" t="s">
        <v>2744</v>
      </c>
      <c r="AB60" s="1" t="s">
        <v>2744</v>
      </c>
      <c r="AC60" s="1" t="s">
        <v>2744</v>
      </c>
    </row>
    <row r="61" spans="2:29" ht="28" x14ac:dyDescent="0.3">
      <c r="B61" s="19" t="s">
        <v>3303</v>
      </c>
      <c r="C61" s="17" t="s">
        <v>3854</v>
      </c>
      <c r="D61" s="16"/>
      <c r="E61" s="2"/>
      <c r="F61" s="2"/>
      <c r="G61" s="2"/>
      <c r="H61" s="2"/>
      <c r="I61" s="2"/>
      <c r="J61" s="2"/>
      <c r="K61" s="3">
        <f>SUM(GMIC_22A_SCDPT5!SCDPT5_161BEGINNG_9:GMIC_22A_SCDPT5!SCDPT5_161ENDINGG_9)</f>
        <v>0</v>
      </c>
      <c r="L61" s="3">
        <f>SUM(GMIC_22A_SCDPT5!SCDPT5_161BEGINNG_10:GMIC_22A_SCDPT5!SCDPT5_161ENDINGG_10)</f>
        <v>0</v>
      </c>
      <c r="M61" s="3">
        <f>SUM(GMIC_22A_SCDPT5!SCDPT5_161BEGINNG_11:GMIC_22A_SCDPT5!SCDPT5_161ENDINGG_11)</f>
        <v>0</v>
      </c>
      <c r="N61" s="3">
        <f>SUM(GMIC_22A_SCDPT5!SCDPT5_161BEGINNG_12:GMIC_22A_SCDPT5!SCDPT5_161ENDINGG_12)</f>
        <v>0</v>
      </c>
      <c r="O61" s="3">
        <f>SUM(GMIC_22A_SCDPT5!SCDPT5_161BEGINNG_13:GMIC_22A_SCDPT5!SCDPT5_161ENDINGG_13)</f>
        <v>0</v>
      </c>
      <c r="P61" s="3">
        <f>SUM(GMIC_22A_SCDPT5!SCDPT5_161BEGINNG_14:GMIC_22A_SCDPT5!SCDPT5_161ENDINGG_14)</f>
        <v>0</v>
      </c>
      <c r="Q61" s="3">
        <f>SUM(GMIC_22A_SCDPT5!SCDPT5_161BEGINNG_15:GMIC_22A_SCDPT5!SCDPT5_161ENDINGG_15)</f>
        <v>0</v>
      </c>
      <c r="R61" s="3">
        <f>SUM(GMIC_22A_SCDPT5!SCDPT5_161BEGINNG_16:GMIC_22A_SCDPT5!SCDPT5_161ENDINGG_16)</f>
        <v>0</v>
      </c>
      <c r="S61" s="3">
        <f>SUM(GMIC_22A_SCDPT5!SCDPT5_161BEGINNG_17:GMIC_22A_SCDPT5!SCDPT5_161ENDINGG_17)</f>
        <v>0</v>
      </c>
      <c r="T61" s="3">
        <f>SUM(GMIC_22A_SCDPT5!SCDPT5_161BEGINNG_18:GMIC_22A_SCDPT5!SCDPT5_161ENDINGG_18)</f>
        <v>0</v>
      </c>
      <c r="U61" s="3">
        <f>SUM(GMIC_22A_SCDPT5!SCDPT5_161BEGINNG_19:GMIC_22A_SCDPT5!SCDPT5_161ENDINGG_19)</f>
        <v>0</v>
      </c>
      <c r="V61" s="3">
        <f>SUM(GMIC_22A_SCDPT5!SCDPT5_161BEGINNG_20:GMIC_22A_SCDPT5!SCDPT5_161ENDINGG_20)</f>
        <v>0</v>
      </c>
      <c r="W61" s="3">
        <f>SUM(GMIC_22A_SCDPT5!SCDPT5_161BEGINNG_21:GMIC_22A_SCDPT5!SCDPT5_161ENDINGG_21)</f>
        <v>0</v>
      </c>
      <c r="X61" s="2"/>
      <c r="Y61" s="2"/>
      <c r="Z61" s="2"/>
      <c r="AA61" s="2"/>
      <c r="AB61" s="2"/>
      <c r="AC61" s="2"/>
    </row>
    <row r="62" spans="2:29" x14ac:dyDescent="0.3">
      <c r="B62" s="7" t="s">
        <v>2744</v>
      </c>
      <c r="C62" s="1" t="s">
        <v>2744</v>
      </c>
      <c r="D62" s="8" t="s">
        <v>2744</v>
      </c>
      <c r="E62" s="1" t="s">
        <v>2744</v>
      </c>
      <c r="F62" s="1" t="s">
        <v>2744</v>
      </c>
      <c r="G62" s="1" t="s">
        <v>2744</v>
      </c>
      <c r="H62" s="1" t="s">
        <v>2744</v>
      </c>
      <c r="I62" s="1" t="s">
        <v>2744</v>
      </c>
      <c r="J62" s="1" t="s">
        <v>2744</v>
      </c>
      <c r="K62" s="1" t="s">
        <v>2744</v>
      </c>
      <c r="L62" s="1" t="s">
        <v>2744</v>
      </c>
      <c r="M62" s="1" t="s">
        <v>2744</v>
      </c>
      <c r="N62" s="1" t="s">
        <v>2744</v>
      </c>
      <c r="O62" s="1" t="s">
        <v>2744</v>
      </c>
      <c r="P62" s="1" t="s">
        <v>2744</v>
      </c>
      <c r="Q62" s="1" t="s">
        <v>2744</v>
      </c>
      <c r="R62" s="1" t="s">
        <v>2744</v>
      </c>
      <c r="S62" s="1" t="s">
        <v>2744</v>
      </c>
      <c r="T62" s="1" t="s">
        <v>2744</v>
      </c>
      <c r="U62" s="1" t="s">
        <v>2744</v>
      </c>
      <c r="V62" s="1" t="s">
        <v>2744</v>
      </c>
      <c r="W62" s="1" t="s">
        <v>2744</v>
      </c>
      <c r="X62" s="1" t="s">
        <v>2744</v>
      </c>
      <c r="Y62" s="1" t="s">
        <v>2744</v>
      </c>
      <c r="Z62" s="1" t="s">
        <v>2744</v>
      </c>
      <c r="AA62" s="1" t="s">
        <v>2744</v>
      </c>
      <c r="AB62" s="1" t="s">
        <v>2744</v>
      </c>
      <c r="AC62" s="1" t="s">
        <v>2744</v>
      </c>
    </row>
    <row r="63" spans="2:29" x14ac:dyDescent="0.3">
      <c r="B63" s="18" t="s">
        <v>4135</v>
      </c>
      <c r="C63" s="25" t="s">
        <v>3897</v>
      </c>
      <c r="D63" s="15" t="s">
        <v>2</v>
      </c>
      <c r="E63" s="20" t="s">
        <v>2</v>
      </c>
      <c r="F63" s="6"/>
      <c r="G63" s="5" t="s">
        <v>2</v>
      </c>
      <c r="H63" s="6"/>
      <c r="I63" s="5" t="s">
        <v>2</v>
      </c>
      <c r="J63" s="4"/>
      <c r="K63" s="4"/>
      <c r="L63" s="4"/>
      <c r="M63" s="4"/>
      <c r="N63" s="4"/>
      <c r="O63" s="4"/>
      <c r="P63" s="4"/>
      <c r="Q63" s="24"/>
      <c r="R63" s="4"/>
      <c r="S63" s="4"/>
      <c r="T63" s="4"/>
      <c r="U63" s="24"/>
      <c r="V63" s="4"/>
      <c r="W63" s="4"/>
      <c r="X63" s="2"/>
      <c r="Y63" s="5" t="s">
        <v>2</v>
      </c>
      <c r="Z63" s="5" t="s">
        <v>2</v>
      </c>
      <c r="AA63" s="5" t="s">
        <v>2</v>
      </c>
      <c r="AB63" s="21" t="s">
        <v>2</v>
      </c>
      <c r="AC63" s="26" t="s">
        <v>2</v>
      </c>
    </row>
    <row r="64" spans="2:29" x14ac:dyDescent="0.3">
      <c r="B64" s="7" t="s">
        <v>2744</v>
      </c>
      <c r="C64" s="1" t="s">
        <v>2744</v>
      </c>
      <c r="D64" s="8" t="s">
        <v>2744</v>
      </c>
      <c r="E64" s="1" t="s">
        <v>2744</v>
      </c>
      <c r="F64" s="1" t="s">
        <v>2744</v>
      </c>
      <c r="G64" s="1" t="s">
        <v>2744</v>
      </c>
      <c r="H64" s="1" t="s">
        <v>2744</v>
      </c>
      <c r="I64" s="1" t="s">
        <v>2744</v>
      </c>
      <c r="J64" s="1" t="s">
        <v>2744</v>
      </c>
      <c r="K64" s="1" t="s">
        <v>2744</v>
      </c>
      <c r="L64" s="1" t="s">
        <v>2744</v>
      </c>
      <c r="M64" s="1" t="s">
        <v>2744</v>
      </c>
      <c r="N64" s="1" t="s">
        <v>2744</v>
      </c>
      <c r="O64" s="1" t="s">
        <v>2744</v>
      </c>
      <c r="P64" s="1" t="s">
        <v>2744</v>
      </c>
      <c r="Q64" s="1" t="s">
        <v>2744</v>
      </c>
      <c r="R64" s="1" t="s">
        <v>2744</v>
      </c>
      <c r="S64" s="1" t="s">
        <v>2744</v>
      </c>
      <c r="T64" s="1" t="s">
        <v>2744</v>
      </c>
      <c r="U64" s="1" t="s">
        <v>2744</v>
      </c>
      <c r="V64" s="1" t="s">
        <v>2744</v>
      </c>
      <c r="W64" s="1" t="s">
        <v>2744</v>
      </c>
      <c r="X64" s="1" t="s">
        <v>2744</v>
      </c>
      <c r="Y64" s="1" t="s">
        <v>2744</v>
      </c>
      <c r="Z64" s="1" t="s">
        <v>2744</v>
      </c>
      <c r="AA64" s="1" t="s">
        <v>2744</v>
      </c>
      <c r="AB64" s="1" t="s">
        <v>2744</v>
      </c>
      <c r="AC64" s="1" t="s">
        <v>2744</v>
      </c>
    </row>
    <row r="65" spans="2:29" ht="28" x14ac:dyDescent="0.3">
      <c r="B65" s="19" t="s">
        <v>444</v>
      </c>
      <c r="C65" s="17" t="s">
        <v>1047</v>
      </c>
      <c r="D65" s="16"/>
      <c r="E65" s="2"/>
      <c r="F65" s="2"/>
      <c r="G65" s="2"/>
      <c r="H65" s="2"/>
      <c r="I65" s="2"/>
      <c r="J65" s="3">
        <f>SUM(GMIC_22A_SCDPT5!SCDPT5_190BEGINNG_8:GMIC_22A_SCDPT5!SCDPT5_190ENDINGG_8)</f>
        <v>0</v>
      </c>
      <c r="K65" s="3">
        <f>SUM(GMIC_22A_SCDPT5!SCDPT5_190BEGINNG_9:GMIC_22A_SCDPT5!SCDPT5_190ENDINGG_9)</f>
        <v>0</v>
      </c>
      <c r="L65" s="3">
        <f>SUM(GMIC_22A_SCDPT5!SCDPT5_190BEGINNG_10:GMIC_22A_SCDPT5!SCDPT5_190ENDINGG_10)</f>
        <v>0</v>
      </c>
      <c r="M65" s="3">
        <f>SUM(GMIC_22A_SCDPT5!SCDPT5_190BEGINNG_11:GMIC_22A_SCDPT5!SCDPT5_190ENDINGG_11)</f>
        <v>0</v>
      </c>
      <c r="N65" s="3">
        <f>SUM(GMIC_22A_SCDPT5!SCDPT5_190BEGINNG_12:GMIC_22A_SCDPT5!SCDPT5_190ENDINGG_12)</f>
        <v>0</v>
      </c>
      <c r="O65" s="3">
        <f>SUM(GMIC_22A_SCDPT5!SCDPT5_190BEGINNG_13:GMIC_22A_SCDPT5!SCDPT5_190ENDINGG_13)</f>
        <v>0</v>
      </c>
      <c r="P65" s="3">
        <f>SUM(GMIC_22A_SCDPT5!SCDPT5_190BEGINNG_14:GMIC_22A_SCDPT5!SCDPT5_190ENDINGG_14)</f>
        <v>0</v>
      </c>
      <c r="Q65" s="3">
        <f>SUM(GMIC_22A_SCDPT5!SCDPT5_190BEGINNG_15:GMIC_22A_SCDPT5!SCDPT5_190ENDINGG_15)</f>
        <v>0</v>
      </c>
      <c r="R65" s="3">
        <f>SUM(GMIC_22A_SCDPT5!SCDPT5_190BEGINNG_16:GMIC_22A_SCDPT5!SCDPT5_190ENDINGG_16)</f>
        <v>0</v>
      </c>
      <c r="S65" s="3">
        <f>SUM(GMIC_22A_SCDPT5!SCDPT5_190BEGINNG_17:GMIC_22A_SCDPT5!SCDPT5_190ENDINGG_17)</f>
        <v>0</v>
      </c>
      <c r="T65" s="3">
        <f>SUM(GMIC_22A_SCDPT5!SCDPT5_190BEGINNG_18:GMIC_22A_SCDPT5!SCDPT5_190ENDINGG_18)</f>
        <v>0</v>
      </c>
      <c r="U65" s="3">
        <f>SUM(GMIC_22A_SCDPT5!SCDPT5_190BEGINNG_19:GMIC_22A_SCDPT5!SCDPT5_190ENDINGG_19)</f>
        <v>0</v>
      </c>
      <c r="V65" s="3">
        <f>SUM(GMIC_22A_SCDPT5!SCDPT5_190BEGINNG_20:GMIC_22A_SCDPT5!SCDPT5_190ENDINGG_20)</f>
        <v>0</v>
      </c>
      <c r="W65" s="3">
        <f>SUM(GMIC_22A_SCDPT5!SCDPT5_190BEGINNG_21:GMIC_22A_SCDPT5!SCDPT5_190ENDINGG_21)</f>
        <v>0</v>
      </c>
      <c r="X65" s="2"/>
      <c r="Y65" s="2"/>
      <c r="Z65" s="2"/>
      <c r="AA65" s="2"/>
      <c r="AB65" s="2"/>
      <c r="AC65" s="2"/>
    </row>
    <row r="66" spans="2:29" x14ac:dyDescent="0.3">
      <c r="B66" s="7" t="s">
        <v>2744</v>
      </c>
      <c r="C66" s="1" t="s">
        <v>2744</v>
      </c>
      <c r="D66" s="8" t="s">
        <v>2744</v>
      </c>
      <c r="E66" s="1" t="s">
        <v>2744</v>
      </c>
      <c r="F66" s="1" t="s">
        <v>2744</v>
      </c>
      <c r="G66" s="1" t="s">
        <v>2744</v>
      </c>
      <c r="H66" s="1" t="s">
        <v>2744</v>
      </c>
      <c r="I66" s="1" t="s">
        <v>2744</v>
      </c>
      <c r="J66" s="1" t="s">
        <v>2744</v>
      </c>
      <c r="K66" s="1" t="s">
        <v>2744</v>
      </c>
      <c r="L66" s="1" t="s">
        <v>2744</v>
      </c>
      <c r="M66" s="1" t="s">
        <v>2744</v>
      </c>
      <c r="N66" s="1" t="s">
        <v>2744</v>
      </c>
      <c r="O66" s="1" t="s">
        <v>2744</v>
      </c>
      <c r="P66" s="1" t="s">
        <v>2744</v>
      </c>
      <c r="Q66" s="1" t="s">
        <v>2744</v>
      </c>
      <c r="R66" s="1" t="s">
        <v>2744</v>
      </c>
      <c r="S66" s="1" t="s">
        <v>2744</v>
      </c>
      <c r="T66" s="1" t="s">
        <v>2744</v>
      </c>
      <c r="U66" s="1" t="s">
        <v>2744</v>
      </c>
      <c r="V66" s="1" t="s">
        <v>2744</v>
      </c>
      <c r="W66" s="1" t="s">
        <v>2744</v>
      </c>
      <c r="X66" s="1" t="s">
        <v>2744</v>
      </c>
      <c r="Y66" s="1" t="s">
        <v>2744</v>
      </c>
      <c r="Z66" s="1" t="s">
        <v>2744</v>
      </c>
      <c r="AA66" s="1" t="s">
        <v>2744</v>
      </c>
      <c r="AB66" s="1" t="s">
        <v>2744</v>
      </c>
      <c r="AC66" s="1" t="s">
        <v>2744</v>
      </c>
    </row>
    <row r="67" spans="2:29" x14ac:dyDescent="0.3">
      <c r="B67" s="18" t="s">
        <v>445</v>
      </c>
      <c r="C67" s="25" t="s">
        <v>3897</v>
      </c>
      <c r="D67" s="15" t="s">
        <v>2</v>
      </c>
      <c r="E67" s="20" t="s">
        <v>2</v>
      </c>
      <c r="F67" s="6"/>
      <c r="G67" s="5" t="s">
        <v>2</v>
      </c>
      <c r="H67" s="6"/>
      <c r="I67" s="5" t="s">
        <v>2</v>
      </c>
      <c r="J67" s="4"/>
      <c r="K67" s="4"/>
      <c r="L67" s="4"/>
      <c r="M67" s="4"/>
      <c r="N67" s="4"/>
      <c r="O67" s="4"/>
      <c r="P67" s="4"/>
      <c r="Q67" s="24"/>
      <c r="R67" s="4"/>
      <c r="S67" s="4"/>
      <c r="T67" s="4"/>
      <c r="U67" s="24"/>
      <c r="V67" s="4"/>
      <c r="W67" s="4"/>
      <c r="X67" s="2"/>
      <c r="Y67" s="5" t="s">
        <v>2</v>
      </c>
      <c r="Z67" s="5" t="s">
        <v>2</v>
      </c>
      <c r="AA67" s="5" t="s">
        <v>2</v>
      </c>
      <c r="AB67" s="21" t="s">
        <v>2</v>
      </c>
      <c r="AC67" s="26" t="s">
        <v>2</v>
      </c>
    </row>
    <row r="68" spans="2:29" x14ac:dyDescent="0.3">
      <c r="B68" s="7" t="s">
        <v>2744</v>
      </c>
      <c r="C68" s="1" t="s">
        <v>2744</v>
      </c>
      <c r="D68" s="8" t="s">
        <v>2744</v>
      </c>
      <c r="E68" s="1" t="s">
        <v>2744</v>
      </c>
      <c r="F68" s="1" t="s">
        <v>2744</v>
      </c>
      <c r="G68" s="1" t="s">
        <v>2744</v>
      </c>
      <c r="H68" s="1" t="s">
        <v>2744</v>
      </c>
      <c r="I68" s="1" t="s">
        <v>2744</v>
      </c>
      <c r="J68" s="1" t="s">
        <v>2744</v>
      </c>
      <c r="K68" s="1" t="s">
        <v>2744</v>
      </c>
      <c r="L68" s="1" t="s">
        <v>2744</v>
      </c>
      <c r="M68" s="1" t="s">
        <v>2744</v>
      </c>
      <c r="N68" s="1" t="s">
        <v>2744</v>
      </c>
      <c r="O68" s="1" t="s">
        <v>2744</v>
      </c>
      <c r="P68" s="1" t="s">
        <v>2744</v>
      </c>
      <c r="Q68" s="1" t="s">
        <v>2744</v>
      </c>
      <c r="R68" s="1" t="s">
        <v>2744</v>
      </c>
      <c r="S68" s="1" t="s">
        <v>2744</v>
      </c>
      <c r="T68" s="1" t="s">
        <v>2744</v>
      </c>
      <c r="U68" s="1" t="s">
        <v>2744</v>
      </c>
      <c r="V68" s="1" t="s">
        <v>2744</v>
      </c>
      <c r="W68" s="1" t="s">
        <v>2744</v>
      </c>
      <c r="X68" s="1" t="s">
        <v>2744</v>
      </c>
      <c r="Y68" s="1" t="s">
        <v>2744</v>
      </c>
      <c r="Z68" s="1" t="s">
        <v>2744</v>
      </c>
      <c r="AA68" s="1" t="s">
        <v>2744</v>
      </c>
      <c r="AB68" s="1" t="s">
        <v>2744</v>
      </c>
      <c r="AC68" s="1" t="s">
        <v>2744</v>
      </c>
    </row>
    <row r="69" spans="2:29" ht="28" x14ac:dyDescent="0.3">
      <c r="B69" s="19" t="s">
        <v>1338</v>
      </c>
      <c r="C69" s="17" t="s">
        <v>698</v>
      </c>
      <c r="D69" s="16"/>
      <c r="E69" s="2"/>
      <c r="F69" s="2"/>
      <c r="G69" s="2"/>
      <c r="H69" s="2"/>
      <c r="I69" s="2"/>
      <c r="J69" s="3">
        <f>SUM(GMIC_22A_SCDPT5!SCDPT5_201BEGINNG_8:GMIC_22A_SCDPT5!SCDPT5_201ENDINGG_8)</f>
        <v>0</v>
      </c>
      <c r="K69" s="3">
        <f>SUM(GMIC_22A_SCDPT5!SCDPT5_201BEGINNG_9:GMIC_22A_SCDPT5!SCDPT5_201ENDINGG_9)</f>
        <v>0</v>
      </c>
      <c r="L69" s="3">
        <f>SUM(GMIC_22A_SCDPT5!SCDPT5_201BEGINNG_10:GMIC_22A_SCDPT5!SCDPT5_201ENDINGG_10)</f>
        <v>0</v>
      </c>
      <c r="M69" s="3">
        <f>SUM(GMIC_22A_SCDPT5!SCDPT5_201BEGINNG_11:GMIC_22A_SCDPT5!SCDPT5_201ENDINGG_11)</f>
        <v>0</v>
      </c>
      <c r="N69" s="3">
        <f>SUM(GMIC_22A_SCDPT5!SCDPT5_201BEGINNG_12:GMIC_22A_SCDPT5!SCDPT5_201ENDINGG_12)</f>
        <v>0</v>
      </c>
      <c r="O69" s="3">
        <f>SUM(GMIC_22A_SCDPT5!SCDPT5_201BEGINNG_13:GMIC_22A_SCDPT5!SCDPT5_201ENDINGG_13)</f>
        <v>0</v>
      </c>
      <c r="P69" s="3">
        <f>SUM(GMIC_22A_SCDPT5!SCDPT5_201BEGINNG_14:GMIC_22A_SCDPT5!SCDPT5_201ENDINGG_14)</f>
        <v>0</v>
      </c>
      <c r="Q69" s="3">
        <f>SUM(GMIC_22A_SCDPT5!SCDPT5_201BEGINNG_15:GMIC_22A_SCDPT5!SCDPT5_201ENDINGG_15)</f>
        <v>0</v>
      </c>
      <c r="R69" s="3">
        <f>SUM(GMIC_22A_SCDPT5!SCDPT5_201BEGINNG_16:GMIC_22A_SCDPT5!SCDPT5_201ENDINGG_16)</f>
        <v>0</v>
      </c>
      <c r="S69" s="3">
        <f>SUM(GMIC_22A_SCDPT5!SCDPT5_201BEGINNG_17:GMIC_22A_SCDPT5!SCDPT5_201ENDINGG_17)</f>
        <v>0</v>
      </c>
      <c r="T69" s="3">
        <f>SUM(GMIC_22A_SCDPT5!SCDPT5_201BEGINNG_18:GMIC_22A_SCDPT5!SCDPT5_201ENDINGG_18)</f>
        <v>0</v>
      </c>
      <c r="U69" s="3">
        <f>SUM(GMIC_22A_SCDPT5!SCDPT5_201BEGINNG_19:GMIC_22A_SCDPT5!SCDPT5_201ENDINGG_19)</f>
        <v>0</v>
      </c>
      <c r="V69" s="3">
        <f>SUM(GMIC_22A_SCDPT5!SCDPT5_201BEGINNG_20:GMIC_22A_SCDPT5!SCDPT5_201ENDINGG_20)</f>
        <v>0</v>
      </c>
      <c r="W69" s="3">
        <f>SUM(GMIC_22A_SCDPT5!SCDPT5_201BEGINNG_21:GMIC_22A_SCDPT5!SCDPT5_201ENDINGG_21)</f>
        <v>0</v>
      </c>
      <c r="X69" s="2"/>
      <c r="Y69" s="2"/>
      <c r="Z69" s="2"/>
      <c r="AA69" s="2"/>
      <c r="AB69" s="2"/>
      <c r="AC69" s="2"/>
    </row>
    <row r="70" spans="2:29" x14ac:dyDescent="0.3">
      <c r="B70" s="19" t="s">
        <v>2487</v>
      </c>
      <c r="C70" s="17" t="s">
        <v>2488</v>
      </c>
      <c r="D70" s="16"/>
      <c r="E70" s="2"/>
      <c r="F70" s="2"/>
      <c r="G70" s="2"/>
      <c r="H70" s="2"/>
      <c r="I70" s="2"/>
      <c r="J70" s="3">
        <f>GMIC_22A_SCDPT5!SCDPT5_0109999999_8+GMIC_22A_SCDPT5!SCDPT5_0309999999_8+GMIC_22A_SCDPT5!SCDPT5_0509999999_8+GMIC_22A_SCDPT5!SCDPT5_0709999999_8+GMIC_22A_SCDPT5!SCDPT5_0909999999_8+GMIC_22A_SCDPT5!SCDPT5_1109999999_8+GMIC_22A_SCDPT5!SCDPT5_1309999999_8+GMIC_22A_SCDPT5!SCDPT5_1509999999_8+GMIC_22A_SCDPT5!SCDPT5_1909999999_8+GMIC_22A_SCDPT5!SCDPT5_2019999999_8</f>
        <v>26794881.629999995</v>
      </c>
      <c r="K70" s="3">
        <f>GMIC_22A_SCDPT5!SCDPT5_0109999999_9+GMIC_22A_SCDPT5!SCDPT5_0309999999_9+GMIC_22A_SCDPT5!SCDPT5_0509999999_9+GMIC_22A_SCDPT5!SCDPT5_0709999999_9+GMIC_22A_SCDPT5!SCDPT5_0909999999_9+GMIC_22A_SCDPT5!SCDPT5_1109999999_9+GMIC_22A_SCDPT5!SCDPT5_1309999999_9+GMIC_22A_SCDPT5!SCDPT5_1509999999_9+GMIC_22A_SCDPT5!SCDPT5_1619999999_9+GMIC_22A_SCDPT5!SCDPT5_1909999999_9+GMIC_22A_SCDPT5!SCDPT5_2019999999_9</f>
        <v>26627842</v>
      </c>
      <c r="L70" s="3">
        <f>GMIC_22A_SCDPT5!SCDPT5_0109999999_10+GMIC_22A_SCDPT5!SCDPT5_0309999999_10+GMIC_22A_SCDPT5!SCDPT5_0509999999_10+GMIC_22A_SCDPT5!SCDPT5_0709999999_10+GMIC_22A_SCDPT5!SCDPT5_0909999999_10+GMIC_22A_SCDPT5!SCDPT5_1109999999_10+GMIC_22A_SCDPT5!SCDPT5_1309999999_10+GMIC_22A_SCDPT5!SCDPT5_1509999999_10+GMIC_22A_SCDPT5!SCDPT5_1619999999_10+GMIC_22A_SCDPT5!SCDPT5_1909999999_10+GMIC_22A_SCDPT5!SCDPT5_2019999999_10</f>
        <v>27087723</v>
      </c>
      <c r="M70" s="3">
        <f>GMIC_22A_SCDPT5!SCDPT5_0109999999_11+GMIC_22A_SCDPT5!SCDPT5_0309999999_11+GMIC_22A_SCDPT5!SCDPT5_0509999999_11+GMIC_22A_SCDPT5!SCDPT5_0709999999_11+GMIC_22A_SCDPT5!SCDPT5_0909999999_11+GMIC_22A_SCDPT5!SCDPT5_1109999999_11+GMIC_22A_SCDPT5!SCDPT5_1309999999_11+GMIC_22A_SCDPT5!SCDPT5_1509999999_11+GMIC_22A_SCDPT5!SCDPT5_1619999999_11+GMIC_22A_SCDPT5!SCDPT5_1909999999_11+GMIC_22A_SCDPT5!SCDPT5_2019999999_11</f>
        <v>26653800</v>
      </c>
      <c r="N70" s="3">
        <f>GMIC_22A_SCDPT5!SCDPT5_0109999999_12+GMIC_22A_SCDPT5!SCDPT5_0309999999_12+GMIC_22A_SCDPT5!SCDPT5_0509999999_12+GMIC_22A_SCDPT5!SCDPT5_0709999999_12+GMIC_22A_SCDPT5!SCDPT5_0909999999_12+GMIC_22A_SCDPT5!SCDPT5_1109999999_12+GMIC_22A_SCDPT5!SCDPT5_1309999999_12+GMIC_22A_SCDPT5!SCDPT5_1509999999_12+GMIC_22A_SCDPT5!SCDPT5_1619999999_12+GMIC_22A_SCDPT5!SCDPT5_1909999999_12+GMIC_22A_SCDPT5!SCDPT5_2019999999_12</f>
        <v>0</v>
      </c>
      <c r="O70" s="3">
        <f>GMIC_22A_SCDPT5!SCDPT5_0109999999_13+GMIC_22A_SCDPT5!SCDPT5_0309999999_13+GMIC_22A_SCDPT5!SCDPT5_0509999999_13+GMIC_22A_SCDPT5!SCDPT5_0709999999_13+GMIC_22A_SCDPT5!SCDPT5_0909999999_13+GMIC_22A_SCDPT5!SCDPT5_1109999999_13+GMIC_22A_SCDPT5!SCDPT5_1309999999_13+GMIC_22A_SCDPT5!SCDPT5_1509999999_13+GMIC_22A_SCDPT5!SCDPT5_1619999999_13+GMIC_22A_SCDPT5!SCDPT5_1909999999_13+GMIC_22A_SCDPT5!SCDPT5_2019999999_13</f>
        <v>25958</v>
      </c>
      <c r="P70" s="3">
        <f>GMIC_22A_SCDPT5!SCDPT5_0109999999_14+GMIC_22A_SCDPT5!SCDPT5_0309999999_14+GMIC_22A_SCDPT5!SCDPT5_0509999999_14+GMIC_22A_SCDPT5!SCDPT5_0709999999_14+GMIC_22A_SCDPT5!SCDPT5_0909999999_14+GMIC_22A_SCDPT5!SCDPT5_1109999999_14+GMIC_22A_SCDPT5!SCDPT5_1309999999_14+GMIC_22A_SCDPT5!SCDPT5_1509999999_14+GMIC_22A_SCDPT5!SCDPT5_1619999999_14+GMIC_22A_SCDPT5!SCDPT5_1909999999_14+GMIC_22A_SCDPT5!SCDPT5_2019999999_14</f>
        <v>0</v>
      </c>
      <c r="Q70" s="3">
        <f>GMIC_22A_SCDPT5!SCDPT5_0109999999_15+GMIC_22A_SCDPT5!SCDPT5_0309999999_15+GMIC_22A_SCDPT5!SCDPT5_0509999999_15+GMIC_22A_SCDPT5!SCDPT5_0709999999_15+GMIC_22A_SCDPT5!SCDPT5_0909999999_15+GMIC_22A_SCDPT5!SCDPT5_1109999999_15+GMIC_22A_SCDPT5!SCDPT5_1309999999_15+GMIC_22A_SCDPT5!SCDPT5_1509999999_15+GMIC_22A_SCDPT5!SCDPT5_1619999999_15+GMIC_22A_SCDPT5!SCDPT5_1909999999_15+GMIC_22A_SCDPT5!SCDPT5_2019999999_15</f>
        <v>25958</v>
      </c>
      <c r="R70" s="3">
        <f>GMIC_22A_SCDPT5!SCDPT5_0109999999_16+GMIC_22A_SCDPT5!SCDPT5_0309999999_16+GMIC_22A_SCDPT5!SCDPT5_0509999999_16+GMIC_22A_SCDPT5!SCDPT5_0709999999_16+GMIC_22A_SCDPT5!SCDPT5_0909999999_16+GMIC_22A_SCDPT5!SCDPT5_1109999999_16+GMIC_22A_SCDPT5!SCDPT5_1309999999_16+GMIC_22A_SCDPT5!SCDPT5_1509999999_16+GMIC_22A_SCDPT5!SCDPT5_1619999999_16+GMIC_22A_SCDPT5!SCDPT5_1909999999_16+GMIC_22A_SCDPT5!SCDPT5_2019999999_16</f>
        <v>0</v>
      </c>
      <c r="S70" s="3">
        <f>GMIC_22A_SCDPT5!SCDPT5_0109999999_17+GMIC_22A_SCDPT5!SCDPT5_0309999999_17+GMIC_22A_SCDPT5!SCDPT5_0509999999_17+GMIC_22A_SCDPT5!SCDPT5_0709999999_17+GMIC_22A_SCDPT5!SCDPT5_0909999999_17+GMIC_22A_SCDPT5!SCDPT5_1109999999_17+GMIC_22A_SCDPT5!SCDPT5_1309999999_17+GMIC_22A_SCDPT5!SCDPT5_1509999999_17+GMIC_22A_SCDPT5!SCDPT5_1619999999_17+GMIC_22A_SCDPT5!SCDPT5_1909999999_17+GMIC_22A_SCDPT5!SCDPT5_2019999999_17</f>
        <v>0</v>
      </c>
      <c r="T70" s="3">
        <f>GMIC_22A_SCDPT5!SCDPT5_0109999999_18+GMIC_22A_SCDPT5!SCDPT5_0309999999_18+GMIC_22A_SCDPT5!SCDPT5_0509999999_18+GMIC_22A_SCDPT5!SCDPT5_0709999999_18+GMIC_22A_SCDPT5!SCDPT5_0909999999_18+GMIC_22A_SCDPT5!SCDPT5_1109999999_18+GMIC_22A_SCDPT5!SCDPT5_1309999999_18+GMIC_22A_SCDPT5!SCDPT5_1509999999_18+GMIC_22A_SCDPT5!SCDPT5_1619999999_18+GMIC_22A_SCDPT5!SCDPT5_1909999999_18+GMIC_22A_SCDPT5!SCDPT5_2019999999_18</f>
        <v>27273</v>
      </c>
      <c r="U70" s="3">
        <f>GMIC_22A_SCDPT5!SCDPT5_0109999999_19+GMIC_22A_SCDPT5!SCDPT5_0309999999_19+GMIC_22A_SCDPT5!SCDPT5_0509999999_19+GMIC_22A_SCDPT5!SCDPT5_0709999999_19+GMIC_22A_SCDPT5!SCDPT5_0909999999_19+GMIC_22A_SCDPT5!SCDPT5_1109999999_19+GMIC_22A_SCDPT5!SCDPT5_1309999999_19+GMIC_22A_SCDPT5!SCDPT5_1509999999_19+GMIC_22A_SCDPT5!SCDPT5_1619999999_19+GMIC_22A_SCDPT5!SCDPT5_1909999999_19+GMIC_22A_SCDPT5!SCDPT5_2019999999_19</f>
        <v>27273</v>
      </c>
      <c r="V70" s="3">
        <f>GMIC_22A_SCDPT5!SCDPT5_0109999999_20+GMIC_22A_SCDPT5!SCDPT5_0309999999_20+GMIC_22A_SCDPT5!SCDPT5_0509999999_20+GMIC_22A_SCDPT5!SCDPT5_0709999999_20+GMIC_22A_SCDPT5!SCDPT5_0909999999_20+GMIC_22A_SCDPT5!SCDPT5_1109999999_20+GMIC_22A_SCDPT5!SCDPT5_1309999999_20+GMIC_22A_SCDPT5!SCDPT5_1509999999_20+GMIC_22A_SCDPT5!SCDPT5_1619999999_20+GMIC_22A_SCDPT5!SCDPT5_1909999999_20+GMIC_22A_SCDPT5!SCDPT5_2019999999_20</f>
        <v>745083</v>
      </c>
      <c r="W70" s="3">
        <f>GMIC_22A_SCDPT5!SCDPT5_0109999999_21+GMIC_22A_SCDPT5!SCDPT5_0309999999_21+GMIC_22A_SCDPT5!SCDPT5_0509999999_21+GMIC_22A_SCDPT5!SCDPT5_0709999999_21+GMIC_22A_SCDPT5!SCDPT5_0909999999_21+GMIC_22A_SCDPT5!SCDPT5_1109999999_21+GMIC_22A_SCDPT5!SCDPT5_1309999999_21+GMIC_22A_SCDPT5!SCDPT5_1509999999_21+GMIC_22A_SCDPT5!SCDPT5_1619999999_21+GMIC_22A_SCDPT5!SCDPT5_1909999999_21+GMIC_22A_SCDPT5!SCDPT5_2019999999_21</f>
        <v>94860</v>
      </c>
      <c r="X70" s="2"/>
      <c r="Y70" s="2"/>
      <c r="Z70" s="2"/>
      <c r="AA70" s="2"/>
      <c r="AB70" s="2"/>
      <c r="AC70" s="2"/>
    </row>
    <row r="71" spans="2:29" x14ac:dyDescent="0.3">
      <c r="B71" s="7" t="s">
        <v>2744</v>
      </c>
      <c r="C71" s="1" t="s">
        <v>2744</v>
      </c>
      <c r="D71" s="8" t="s">
        <v>2744</v>
      </c>
      <c r="E71" s="1" t="s">
        <v>2744</v>
      </c>
      <c r="F71" s="1" t="s">
        <v>2744</v>
      </c>
      <c r="G71" s="1" t="s">
        <v>2744</v>
      </c>
      <c r="H71" s="1" t="s">
        <v>2744</v>
      </c>
      <c r="I71" s="1" t="s">
        <v>2744</v>
      </c>
      <c r="J71" s="1" t="s">
        <v>2744</v>
      </c>
      <c r="K71" s="1" t="s">
        <v>2744</v>
      </c>
      <c r="L71" s="1" t="s">
        <v>2744</v>
      </c>
      <c r="M71" s="1" t="s">
        <v>2744</v>
      </c>
      <c r="N71" s="1" t="s">
        <v>2744</v>
      </c>
      <c r="O71" s="1" t="s">
        <v>2744</v>
      </c>
      <c r="P71" s="1" t="s">
        <v>2744</v>
      </c>
      <c r="Q71" s="1" t="s">
        <v>2744</v>
      </c>
      <c r="R71" s="1" t="s">
        <v>2744</v>
      </c>
      <c r="S71" s="1" t="s">
        <v>2744</v>
      </c>
      <c r="T71" s="1" t="s">
        <v>2744</v>
      </c>
      <c r="U71" s="1" t="s">
        <v>2744</v>
      </c>
      <c r="V71" s="1" t="s">
        <v>2744</v>
      </c>
      <c r="W71" s="1" t="s">
        <v>2744</v>
      </c>
      <c r="X71" s="1" t="s">
        <v>2744</v>
      </c>
      <c r="Y71" s="1" t="s">
        <v>2744</v>
      </c>
      <c r="Z71" s="1" t="s">
        <v>2744</v>
      </c>
      <c r="AA71" s="1" t="s">
        <v>2744</v>
      </c>
      <c r="AB71" s="1" t="s">
        <v>2744</v>
      </c>
      <c r="AC71" s="1" t="s">
        <v>2744</v>
      </c>
    </row>
    <row r="72" spans="2:29" x14ac:dyDescent="0.3">
      <c r="B72" s="18" t="s">
        <v>4115</v>
      </c>
      <c r="C72" s="25" t="s">
        <v>3897</v>
      </c>
      <c r="D72" s="15" t="s">
        <v>2</v>
      </c>
      <c r="E72" s="20" t="s">
        <v>2</v>
      </c>
      <c r="F72" s="6"/>
      <c r="G72" s="5" t="s">
        <v>2</v>
      </c>
      <c r="H72" s="6"/>
      <c r="I72" s="5" t="s">
        <v>2</v>
      </c>
      <c r="J72" s="28"/>
      <c r="K72" s="4"/>
      <c r="L72" s="4"/>
      <c r="M72" s="4"/>
      <c r="N72" s="4"/>
      <c r="O72" s="4"/>
      <c r="P72" s="4"/>
      <c r="Q72" s="24"/>
      <c r="R72" s="4"/>
      <c r="S72" s="4"/>
      <c r="T72" s="4"/>
      <c r="U72" s="24"/>
      <c r="V72" s="4"/>
      <c r="W72" s="4"/>
      <c r="X72" s="2"/>
      <c r="Y72" s="5" t="s">
        <v>2</v>
      </c>
      <c r="Z72" s="5" t="s">
        <v>2</v>
      </c>
      <c r="AA72" s="5" t="s">
        <v>2</v>
      </c>
      <c r="AB72" s="21" t="s">
        <v>2</v>
      </c>
      <c r="AC72" s="26" t="s">
        <v>2</v>
      </c>
    </row>
    <row r="73" spans="2:29" x14ac:dyDescent="0.3">
      <c r="B73" s="7" t="s">
        <v>2744</v>
      </c>
      <c r="C73" s="1" t="s">
        <v>2744</v>
      </c>
      <c r="D73" s="8" t="s">
        <v>2744</v>
      </c>
      <c r="E73" s="1" t="s">
        <v>2744</v>
      </c>
      <c r="F73" s="1" t="s">
        <v>2744</v>
      </c>
      <c r="G73" s="1" t="s">
        <v>2744</v>
      </c>
      <c r="H73" s="1" t="s">
        <v>2744</v>
      </c>
      <c r="I73" s="1" t="s">
        <v>2744</v>
      </c>
      <c r="J73" s="1" t="s">
        <v>2744</v>
      </c>
      <c r="K73" s="1" t="s">
        <v>2744</v>
      </c>
      <c r="L73" s="1" t="s">
        <v>2744</v>
      </c>
      <c r="M73" s="1" t="s">
        <v>2744</v>
      </c>
      <c r="N73" s="1" t="s">
        <v>2744</v>
      </c>
      <c r="O73" s="1" t="s">
        <v>2744</v>
      </c>
      <c r="P73" s="1" t="s">
        <v>2744</v>
      </c>
      <c r="Q73" s="1" t="s">
        <v>2744</v>
      </c>
      <c r="R73" s="1" t="s">
        <v>2744</v>
      </c>
      <c r="S73" s="1" t="s">
        <v>2744</v>
      </c>
      <c r="T73" s="1" t="s">
        <v>2744</v>
      </c>
      <c r="U73" s="1" t="s">
        <v>2744</v>
      </c>
      <c r="V73" s="1" t="s">
        <v>2744</v>
      </c>
      <c r="W73" s="1" t="s">
        <v>2744</v>
      </c>
      <c r="X73" s="1" t="s">
        <v>2744</v>
      </c>
      <c r="Y73" s="1" t="s">
        <v>2744</v>
      </c>
      <c r="Z73" s="1" t="s">
        <v>2744</v>
      </c>
      <c r="AA73" s="1" t="s">
        <v>2744</v>
      </c>
      <c r="AB73" s="1" t="s">
        <v>2744</v>
      </c>
      <c r="AC73" s="1" t="s">
        <v>2744</v>
      </c>
    </row>
    <row r="74" spans="2:29" ht="56" x14ac:dyDescent="0.3">
      <c r="B74" s="19" t="s">
        <v>700</v>
      </c>
      <c r="C74" s="17" t="s">
        <v>4136</v>
      </c>
      <c r="D74" s="16"/>
      <c r="E74" s="2"/>
      <c r="F74" s="2"/>
      <c r="G74" s="2"/>
      <c r="H74" s="2"/>
      <c r="I74" s="2"/>
      <c r="J74" s="2"/>
      <c r="K74" s="3">
        <f>SUM(GMIC_22A_SCDPT5!SCDPT5_401BEGINNG_9:GMIC_22A_SCDPT5!SCDPT5_401ENDINGG_9)</f>
        <v>0</v>
      </c>
      <c r="L74" s="3">
        <f>SUM(GMIC_22A_SCDPT5!SCDPT5_401BEGINNG_10:GMIC_22A_SCDPT5!SCDPT5_401ENDINGG_10)</f>
        <v>0</v>
      </c>
      <c r="M74" s="3">
        <f>SUM(GMIC_22A_SCDPT5!SCDPT5_401BEGINNG_11:GMIC_22A_SCDPT5!SCDPT5_401ENDINGG_11)</f>
        <v>0</v>
      </c>
      <c r="N74" s="3">
        <f>SUM(GMIC_22A_SCDPT5!SCDPT5_401BEGINNG_12:GMIC_22A_SCDPT5!SCDPT5_401ENDINGG_12)</f>
        <v>0</v>
      </c>
      <c r="O74" s="3">
        <f>SUM(GMIC_22A_SCDPT5!SCDPT5_401BEGINNG_13:GMIC_22A_SCDPT5!SCDPT5_401ENDINGG_13)</f>
        <v>0</v>
      </c>
      <c r="P74" s="3">
        <f>SUM(GMIC_22A_SCDPT5!SCDPT5_401BEGINNG_14:GMIC_22A_SCDPT5!SCDPT5_401ENDINGG_14)</f>
        <v>0</v>
      </c>
      <c r="Q74" s="3">
        <f>SUM(GMIC_22A_SCDPT5!SCDPT5_401BEGINNG_15:GMIC_22A_SCDPT5!SCDPT5_401ENDINGG_15)</f>
        <v>0</v>
      </c>
      <c r="R74" s="3">
        <f>SUM(GMIC_22A_SCDPT5!SCDPT5_401BEGINNG_16:GMIC_22A_SCDPT5!SCDPT5_401ENDINGG_16)</f>
        <v>0</v>
      </c>
      <c r="S74" s="3">
        <f>SUM(GMIC_22A_SCDPT5!SCDPT5_401BEGINNG_17:GMIC_22A_SCDPT5!SCDPT5_401ENDINGG_17)</f>
        <v>0</v>
      </c>
      <c r="T74" s="3">
        <f>SUM(GMIC_22A_SCDPT5!SCDPT5_401BEGINNG_18:GMIC_22A_SCDPT5!SCDPT5_401ENDINGG_18)</f>
        <v>0</v>
      </c>
      <c r="U74" s="3">
        <f>SUM(GMIC_22A_SCDPT5!SCDPT5_401BEGINNG_19:GMIC_22A_SCDPT5!SCDPT5_401ENDINGG_19)</f>
        <v>0</v>
      </c>
      <c r="V74" s="3">
        <f>SUM(GMIC_22A_SCDPT5!SCDPT5_401BEGINNG_20:GMIC_22A_SCDPT5!SCDPT5_401ENDINGG_20)</f>
        <v>0</v>
      </c>
      <c r="W74" s="3">
        <f>SUM(GMIC_22A_SCDPT5!SCDPT5_401BEGINNG_21:GMIC_22A_SCDPT5!SCDPT5_401ENDINGG_21)</f>
        <v>0</v>
      </c>
      <c r="X74" s="2"/>
      <c r="Y74" s="2"/>
      <c r="Z74" s="2"/>
      <c r="AA74" s="2"/>
      <c r="AB74" s="2"/>
      <c r="AC74" s="2"/>
    </row>
    <row r="75" spans="2:29" x14ac:dyDescent="0.3">
      <c r="B75" s="7" t="s">
        <v>2744</v>
      </c>
      <c r="C75" s="1" t="s">
        <v>2744</v>
      </c>
      <c r="D75" s="8" t="s">
        <v>2744</v>
      </c>
      <c r="E75" s="1" t="s">
        <v>2744</v>
      </c>
      <c r="F75" s="1" t="s">
        <v>2744</v>
      </c>
      <c r="G75" s="1" t="s">
        <v>2744</v>
      </c>
      <c r="H75" s="1" t="s">
        <v>2744</v>
      </c>
      <c r="I75" s="1" t="s">
        <v>2744</v>
      </c>
      <c r="J75" s="1" t="s">
        <v>2744</v>
      </c>
      <c r="K75" s="1" t="s">
        <v>2744</v>
      </c>
      <c r="L75" s="1" t="s">
        <v>2744</v>
      </c>
      <c r="M75" s="1" t="s">
        <v>2744</v>
      </c>
      <c r="N75" s="1" t="s">
        <v>2744</v>
      </c>
      <c r="O75" s="1" t="s">
        <v>2744</v>
      </c>
      <c r="P75" s="1" t="s">
        <v>2744</v>
      </c>
      <c r="Q75" s="1" t="s">
        <v>2744</v>
      </c>
      <c r="R75" s="1" t="s">
        <v>2744</v>
      </c>
      <c r="S75" s="1" t="s">
        <v>2744</v>
      </c>
      <c r="T75" s="1" t="s">
        <v>2744</v>
      </c>
      <c r="U75" s="1" t="s">
        <v>2744</v>
      </c>
      <c r="V75" s="1" t="s">
        <v>2744</v>
      </c>
      <c r="W75" s="1" t="s">
        <v>2744</v>
      </c>
      <c r="X75" s="1" t="s">
        <v>2744</v>
      </c>
      <c r="Y75" s="1" t="s">
        <v>2744</v>
      </c>
      <c r="Z75" s="1" t="s">
        <v>2744</v>
      </c>
      <c r="AA75" s="1" t="s">
        <v>2744</v>
      </c>
      <c r="AB75" s="1" t="s">
        <v>2744</v>
      </c>
      <c r="AC75" s="1" t="s">
        <v>2744</v>
      </c>
    </row>
    <row r="76" spans="2:29" x14ac:dyDescent="0.3">
      <c r="B76" s="18" t="s">
        <v>3306</v>
      </c>
      <c r="C76" s="25" t="s">
        <v>3897</v>
      </c>
      <c r="D76" s="15" t="s">
        <v>2</v>
      </c>
      <c r="E76" s="20" t="s">
        <v>2</v>
      </c>
      <c r="F76" s="6"/>
      <c r="G76" s="5" t="s">
        <v>2</v>
      </c>
      <c r="H76" s="6"/>
      <c r="I76" s="5" t="s">
        <v>2</v>
      </c>
      <c r="J76" s="28"/>
      <c r="K76" s="4"/>
      <c r="L76" s="4"/>
      <c r="M76" s="4"/>
      <c r="N76" s="4"/>
      <c r="O76" s="4"/>
      <c r="P76" s="4"/>
      <c r="Q76" s="24"/>
      <c r="R76" s="4"/>
      <c r="S76" s="4"/>
      <c r="T76" s="4"/>
      <c r="U76" s="24"/>
      <c r="V76" s="4"/>
      <c r="W76" s="4"/>
      <c r="X76" s="2"/>
      <c r="Y76" s="5" t="s">
        <v>2</v>
      </c>
      <c r="Z76" s="5" t="s">
        <v>2</v>
      </c>
      <c r="AA76" s="5" t="s">
        <v>2</v>
      </c>
      <c r="AB76" s="21" t="s">
        <v>2</v>
      </c>
      <c r="AC76" s="26" t="s">
        <v>2</v>
      </c>
    </row>
    <row r="77" spans="2:29" x14ac:dyDescent="0.3">
      <c r="B77" s="7" t="s">
        <v>2744</v>
      </c>
      <c r="C77" s="1" t="s">
        <v>2744</v>
      </c>
      <c r="D77" s="8" t="s">
        <v>2744</v>
      </c>
      <c r="E77" s="1" t="s">
        <v>2744</v>
      </c>
      <c r="F77" s="1" t="s">
        <v>2744</v>
      </c>
      <c r="G77" s="1" t="s">
        <v>2744</v>
      </c>
      <c r="H77" s="1" t="s">
        <v>2744</v>
      </c>
      <c r="I77" s="1" t="s">
        <v>2744</v>
      </c>
      <c r="J77" s="1" t="s">
        <v>2744</v>
      </c>
      <c r="K77" s="1" t="s">
        <v>2744</v>
      </c>
      <c r="L77" s="1" t="s">
        <v>2744</v>
      </c>
      <c r="M77" s="1" t="s">
        <v>2744</v>
      </c>
      <c r="N77" s="1" t="s">
        <v>2744</v>
      </c>
      <c r="O77" s="1" t="s">
        <v>2744</v>
      </c>
      <c r="P77" s="1" t="s">
        <v>2744</v>
      </c>
      <c r="Q77" s="1" t="s">
        <v>2744</v>
      </c>
      <c r="R77" s="1" t="s">
        <v>2744</v>
      </c>
      <c r="S77" s="1" t="s">
        <v>2744</v>
      </c>
      <c r="T77" s="1" t="s">
        <v>2744</v>
      </c>
      <c r="U77" s="1" t="s">
        <v>2744</v>
      </c>
      <c r="V77" s="1" t="s">
        <v>2744</v>
      </c>
      <c r="W77" s="1" t="s">
        <v>2744</v>
      </c>
      <c r="X77" s="1" t="s">
        <v>2744</v>
      </c>
      <c r="Y77" s="1" t="s">
        <v>2744</v>
      </c>
      <c r="Z77" s="1" t="s">
        <v>2744</v>
      </c>
      <c r="AA77" s="1" t="s">
        <v>2744</v>
      </c>
      <c r="AB77" s="1" t="s">
        <v>2744</v>
      </c>
      <c r="AC77" s="1" t="s">
        <v>2744</v>
      </c>
    </row>
    <row r="78" spans="2:29" ht="56" x14ac:dyDescent="0.3">
      <c r="B78" s="19" t="s">
        <v>4451</v>
      </c>
      <c r="C78" s="17" t="s">
        <v>4137</v>
      </c>
      <c r="D78" s="16"/>
      <c r="E78" s="2"/>
      <c r="F78" s="2"/>
      <c r="G78" s="2"/>
      <c r="H78" s="2"/>
      <c r="I78" s="2"/>
      <c r="J78" s="2"/>
      <c r="K78" s="3">
        <f>SUM(GMIC_22A_SCDPT5!SCDPT5_402BEGINNG_9:GMIC_22A_SCDPT5!SCDPT5_402ENDINGG_9)</f>
        <v>0</v>
      </c>
      <c r="L78" s="3">
        <f>SUM(GMIC_22A_SCDPT5!SCDPT5_402BEGINNG_10:GMIC_22A_SCDPT5!SCDPT5_402ENDINGG_10)</f>
        <v>0</v>
      </c>
      <c r="M78" s="3">
        <f>SUM(GMIC_22A_SCDPT5!SCDPT5_402BEGINNG_11:GMIC_22A_SCDPT5!SCDPT5_402ENDINGG_11)</f>
        <v>0</v>
      </c>
      <c r="N78" s="3">
        <f>SUM(GMIC_22A_SCDPT5!SCDPT5_402BEGINNG_12:GMIC_22A_SCDPT5!SCDPT5_402ENDINGG_12)</f>
        <v>0</v>
      </c>
      <c r="O78" s="3">
        <f>SUM(GMIC_22A_SCDPT5!SCDPT5_402BEGINNG_13:GMIC_22A_SCDPT5!SCDPT5_402ENDINGG_13)</f>
        <v>0</v>
      </c>
      <c r="P78" s="3">
        <f>SUM(GMIC_22A_SCDPT5!SCDPT5_402BEGINNG_14:GMIC_22A_SCDPT5!SCDPT5_402ENDINGG_14)</f>
        <v>0</v>
      </c>
      <c r="Q78" s="3">
        <f>SUM(GMIC_22A_SCDPT5!SCDPT5_402BEGINNG_15:GMIC_22A_SCDPT5!SCDPT5_402ENDINGG_15)</f>
        <v>0</v>
      </c>
      <c r="R78" s="3">
        <f>SUM(GMIC_22A_SCDPT5!SCDPT5_402BEGINNG_16:GMIC_22A_SCDPT5!SCDPT5_402ENDINGG_16)</f>
        <v>0</v>
      </c>
      <c r="S78" s="3">
        <f>SUM(GMIC_22A_SCDPT5!SCDPT5_402BEGINNG_17:GMIC_22A_SCDPT5!SCDPT5_402ENDINGG_17)</f>
        <v>0</v>
      </c>
      <c r="T78" s="3">
        <f>SUM(GMIC_22A_SCDPT5!SCDPT5_402BEGINNG_18:GMIC_22A_SCDPT5!SCDPT5_402ENDINGG_18)</f>
        <v>0</v>
      </c>
      <c r="U78" s="3">
        <f>SUM(GMIC_22A_SCDPT5!SCDPT5_402BEGINNG_19:GMIC_22A_SCDPT5!SCDPT5_402ENDINGG_19)</f>
        <v>0</v>
      </c>
      <c r="V78" s="3">
        <f>SUM(GMIC_22A_SCDPT5!SCDPT5_402BEGINNG_20:GMIC_22A_SCDPT5!SCDPT5_402ENDINGG_20)</f>
        <v>0</v>
      </c>
      <c r="W78" s="3">
        <f>SUM(GMIC_22A_SCDPT5!SCDPT5_402BEGINNG_21:GMIC_22A_SCDPT5!SCDPT5_402ENDINGG_21)</f>
        <v>0</v>
      </c>
      <c r="X78" s="2"/>
      <c r="Y78" s="2"/>
      <c r="Z78" s="2"/>
      <c r="AA78" s="2"/>
      <c r="AB78" s="2"/>
      <c r="AC78" s="2"/>
    </row>
    <row r="79" spans="2:29" x14ac:dyDescent="0.3">
      <c r="B79" s="7" t="s">
        <v>2744</v>
      </c>
      <c r="C79" s="1" t="s">
        <v>2744</v>
      </c>
      <c r="D79" s="8" t="s">
        <v>2744</v>
      </c>
      <c r="E79" s="1" t="s">
        <v>2744</v>
      </c>
      <c r="F79" s="1" t="s">
        <v>2744</v>
      </c>
      <c r="G79" s="1" t="s">
        <v>2744</v>
      </c>
      <c r="H79" s="1" t="s">
        <v>2744</v>
      </c>
      <c r="I79" s="1" t="s">
        <v>2744</v>
      </c>
      <c r="J79" s="1" t="s">
        <v>2744</v>
      </c>
      <c r="K79" s="1" t="s">
        <v>2744</v>
      </c>
      <c r="L79" s="1" t="s">
        <v>2744</v>
      </c>
      <c r="M79" s="1" t="s">
        <v>2744</v>
      </c>
      <c r="N79" s="1" t="s">
        <v>2744</v>
      </c>
      <c r="O79" s="1" t="s">
        <v>2744</v>
      </c>
      <c r="P79" s="1" t="s">
        <v>2744</v>
      </c>
      <c r="Q79" s="1" t="s">
        <v>2744</v>
      </c>
      <c r="R79" s="1" t="s">
        <v>2744</v>
      </c>
      <c r="S79" s="1" t="s">
        <v>2744</v>
      </c>
      <c r="T79" s="1" t="s">
        <v>2744</v>
      </c>
      <c r="U79" s="1" t="s">
        <v>2744</v>
      </c>
      <c r="V79" s="1" t="s">
        <v>2744</v>
      </c>
      <c r="W79" s="1" t="s">
        <v>2744</v>
      </c>
      <c r="X79" s="1" t="s">
        <v>2744</v>
      </c>
      <c r="Y79" s="1" t="s">
        <v>2744</v>
      </c>
      <c r="Z79" s="1" t="s">
        <v>2744</v>
      </c>
      <c r="AA79" s="1" t="s">
        <v>2744</v>
      </c>
      <c r="AB79" s="1" t="s">
        <v>2744</v>
      </c>
      <c r="AC79" s="1" t="s">
        <v>2744</v>
      </c>
    </row>
    <row r="80" spans="2:29" x14ac:dyDescent="0.3">
      <c r="B80" s="18" t="s">
        <v>450</v>
      </c>
      <c r="C80" s="25" t="s">
        <v>3897</v>
      </c>
      <c r="D80" s="15" t="s">
        <v>2</v>
      </c>
      <c r="E80" s="20" t="s">
        <v>2</v>
      </c>
      <c r="F80" s="6"/>
      <c r="G80" s="5" t="s">
        <v>2</v>
      </c>
      <c r="H80" s="6"/>
      <c r="I80" s="5" t="s">
        <v>2</v>
      </c>
      <c r="J80" s="28"/>
      <c r="K80" s="4"/>
      <c r="L80" s="4"/>
      <c r="M80" s="4"/>
      <c r="N80" s="4"/>
      <c r="O80" s="4"/>
      <c r="P80" s="4"/>
      <c r="Q80" s="24"/>
      <c r="R80" s="4"/>
      <c r="S80" s="4"/>
      <c r="T80" s="4"/>
      <c r="U80" s="24"/>
      <c r="V80" s="4"/>
      <c r="W80" s="4"/>
      <c r="X80" s="2"/>
      <c r="Y80" s="5" t="s">
        <v>2</v>
      </c>
      <c r="Z80" s="5" t="s">
        <v>2</v>
      </c>
      <c r="AA80" s="5" t="s">
        <v>2</v>
      </c>
      <c r="AB80" s="21" t="s">
        <v>2</v>
      </c>
      <c r="AC80" s="26" t="s">
        <v>2</v>
      </c>
    </row>
    <row r="81" spans="2:29" x14ac:dyDescent="0.3">
      <c r="B81" s="7" t="s">
        <v>2744</v>
      </c>
      <c r="C81" s="1" t="s">
        <v>2744</v>
      </c>
      <c r="D81" s="8" t="s">
        <v>2744</v>
      </c>
      <c r="E81" s="1" t="s">
        <v>2744</v>
      </c>
      <c r="F81" s="1" t="s">
        <v>2744</v>
      </c>
      <c r="G81" s="1" t="s">
        <v>2744</v>
      </c>
      <c r="H81" s="1" t="s">
        <v>2744</v>
      </c>
      <c r="I81" s="1" t="s">
        <v>2744</v>
      </c>
      <c r="J81" s="1" t="s">
        <v>2744</v>
      </c>
      <c r="K81" s="1" t="s">
        <v>2744</v>
      </c>
      <c r="L81" s="1" t="s">
        <v>2744</v>
      </c>
      <c r="M81" s="1" t="s">
        <v>2744</v>
      </c>
      <c r="N81" s="1" t="s">
        <v>2744</v>
      </c>
      <c r="O81" s="1" t="s">
        <v>2744</v>
      </c>
      <c r="P81" s="1" t="s">
        <v>2744</v>
      </c>
      <c r="Q81" s="1" t="s">
        <v>2744</v>
      </c>
      <c r="R81" s="1" t="s">
        <v>2744</v>
      </c>
      <c r="S81" s="1" t="s">
        <v>2744</v>
      </c>
      <c r="T81" s="1" t="s">
        <v>2744</v>
      </c>
      <c r="U81" s="1" t="s">
        <v>2744</v>
      </c>
      <c r="V81" s="1" t="s">
        <v>2744</v>
      </c>
      <c r="W81" s="1" t="s">
        <v>2744</v>
      </c>
      <c r="X81" s="1" t="s">
        <v>2744</v>
      </c>
      <c r="Y81" s="1" t="s">
        <v>2744</v>
      </c>
      <c r="Z81" s="1" t="s">
        <v>2744</v>
      </c>
      <c r="AA81" s="1" t="s">
        <v>2744</v>
      </c>
      <c r="AB81" s="1" t="s">
        <v>2744</v>
      </c>
      <c r="AC81" s="1" t="s">
        <v>2744</v>
      </c>
    </row>
    <row r="82" spans="2:29" ht="42" x14ac:dyDescent="0.3">
      <c r="B82" s="19" t="s">
        <v>1572</v>
      </c>
      <c r="C82" s="17" t="s">
        <v>2999</v>
      </c>
      <c r="D82" s="16"/>
      <c r="E82" s="2"/>
      <c r="F82" s="2"/>
      <c r="G82" s="2"/>
      <c r="H82" s="2"/>
      <c r="I82" s="2"/>
      <c r="J82" s="2"/>
      <c r="K82" s="3">
        <f>SUM(GMIC_22A_SCDPT5!SCDPT5_431BEGINNG_9:GMIC_22A_SCDPT5!SCDPT5_431ENDINGG_9)</f>
        <v>0</v>
      </c>
      <c r="L82" s="3">
        <f>SUM(GMIC_22A_SCDPT5!SCDPT5_431BEGINNG_10:GMIC_22A_SCDPT5!SCDPT5_431ENDINGG_10)</f>
        <v>0</v>
      </c>
      <c r="M82" s="3">
        <f>SUM(GMIC_22A_SCDPT5!SCDPT5_431BEGINNG_11:GMIC_22A_SCDPT5!SCDPT5_431ENDINGG_11)</f>
        <v>0</v>
      </c>
      <c r="N82" s="3">
        <f>SUM(GMIC_22A_SCDPT5!SCDPT5_431BEGINNG_12:GMIC_22A_SCDPT5!SCDPT5_431ENDINGG_12)</f>
        <v>0</v>
      </c>
      <c r="O82" s="3">
        <f>SUM(GMIC_22A_SCDPT5!SCDPT5_431BEGINNG_13:GMIC_22A_SCDPT5!SCDPT5_431ENDINGG_13)</f>
        <v>0</v>
      </c>
      <c r="P82" s="3">
        <f>SUM(GMIC_22A_SCDPT5!SCDPT5_431BEGINNG_14:GMIC_22A_SCDPT5!SCDPT5_431ENDINGG_14)</f>
        <v>0</v>
      </c>
      <c r="Q82" s="3">
        <f>SUM(GMIC_22A_SCDPT5!SCDPT5_431BEGINNG_15:GMIC_22A_SCDPT5!SCDPT5_431ENDINGG_15)</f>
        <v>0</v>
      </c>
      <c r="R82" s="3">
        <f>SUM(GMIC_22A_SCDPT5!SCDPT5_431BEGINNG_16:GMIC_22A_SCDPT5!SCDPT5_431ENDINGG_16)</f>
        <v>0</v>
      </c>
      <c r="S82" s="3">
        <f>SUM(GMIC_22A_SCDPT5!SCDPT5_431BEGINNG_17:GMIC_22A_SCDPT5!SCDPT5_431ENDINGG_17)</f>
        <v>0</v>
      </c>
      <c r="T82" s="3">
        <f>SUM(GMIC_22A_SCDPT5!SCDPT5_431BEGINNG_18:GMIC_22A_SCDPT5!SCDPT5_431ENDINGG_18)</f>
        <v>0</v>
      </c>
      <c r="U82" s="3">
        <f>SUM(GMIC_22A_SCDPT5!SCDPT5_431BEGINNG_19:GMIC_22A_SCDPT5!SCDPT5_431ENDINGG_19)</f>
        <v>0</v>
      </c>
      <c r="V82" s="3">
        <f>SUM(GMIC_22A_SCDPT5!SCDPT5_431BEGINNG_20:GMIC_22A_SCDPT5!SCDPT5_431ENDINGG_20)</f>
        <v>0</v>
      </c>
      <c r="W82" s="3">
        <f>SUM(GMIC_22A_SCDPT5!SCDPT5_431BEGINNG_21:GMIC_22A_SCDPT5!SCDPT5_431ENDINGG_21)</f>
        <v>0</v>
      </c>
      <c r="X82" s="2"/>
      <c r="Y82" s="2"/>
      <c r="Z82" s="2"/>
      <c r="AA82" s="2"/>
      <c r="AB82" s="2"/>
      <c r="AC82" s="2"/>
    </row>
    <row r="83" spans="2:29" x14ac:dyDescent="0.3">
      <c r="B83" s="7" t="s">
        <v>2744</v>
      </c>
      <c r="C83" s="1" t="s">
        <v>2744</v>
      </c>
      <c r="D83" s="8" t="s">
        <v>2744</v>
      </c>
      <c r="E83" s="1" t="s">
        <v>2744</v>
      </c>
      <c r="F83" s="1" t="s">
        <v>2744</v>
      </c>
      <c r="G83" s="1" t="s">
        <v>2744</v>
      </c>
      <c r="H83" s="1" t="s">
        <v>2744</v>
      </c>
      <c r="I83" s="1" t="s">
        <v>2744</v>
      </c>
      <c r="J83" s="1" t="s">
        <v>2744</v>
      </c>
      <c r="K83" s="1" t="s">
        <v>2744</v>
      </c>
      <c r="L83" s="1" t="s">
        <v>2744</v>
      </c>
      <c r="M83" s="1" t="s">
        <v>2744</v>
      </c>
      <c r="N83" s="1" t="s">
        <v>2744</v>
      </c>
      <c r="O83" s="1" t="s">
        <v>2744</v>
      </c>
      <c r="P83" s="1" t="s">
        <v>2744</v>
      </c>
      <c r="Q83" s="1" t="s">
        <v>2744</v>
      </c>
      <c r="R83" s="1" t="s">
        <v>2744</v>
      </c>
      <c r="S83" s="1" t="s">
        <v>2744</v>
      </c>
      <c r="T83" s="1" t="s">
        <v>2744</v>
      </c>
      <c r="U83" s="1" t="s">
        <v>2744</v>
      </c>
      <c r="V83" s="1" t="s">
        <v>2744</v>
      </c>
      <c r="W83" s="1" t="s">
        <v>2744</v>
      </c>
      <c r="X83" s="1" t="s">
        <v>2744</v>
      </c>
      <c r="Y83" s="1" t="s">
        <v>2744</v>
      </c>
      <c r="Z83" s="1" t="s">
        <v>2744</v>
      </c>
      <c r="AA83" s="1" t="s">
        <v>2744</v>
      </c>
      <c r="AB83" s="1" t="s">
        <v>2744</v>
      </c>
      <c r="AC83" s="1" t="s">
        <v>2744</v>
      </c>
    </row>
    <row r="84" spans="2:29" x14ac:dyDescent="0.3">
      <c r="B84" s="18" t="s">
        <v>4116</v>
      </c>
      <c r="C84" s="25" t="s">
        <v>3897</v>
      </c>
      <c r="D84" s="15" t="s">
        <v>2</v>
      </c>
      <c r="E84" s="20" t="s">
        <v>2</v>
      </c>
      <c r="F84" s="6"/>
      <c r="G84" s="5" t="s">
        <v>2</v>
      </c>
      <c r="H84" s="6"/>
      <c r="I84" s="5" t="s">
        <v>2</v>
      </c>
      <c r="J84" s="28"/>
      <c r="K84" s="4"/>
      <c r="L84" s="4"/>
      <c r="M84" s="4"/>
      <c r="N84" s="4"/>
      <c r="O84" s="4"/>
      <c r="P84" s="4"/>
      <c r="Q84" s="24"/>
      <c r="R84" s="4"/>
      <c r="S84" s="4"/>
      <c r="T84" s="4"/>
      <c r="U84" s="24"/>
      <c r="V84" s="4"/>
      <c r="W84" s="4"/>
      <c r="X84" s="2"/>
      <c r="Y84" s="5" t="s">
        <v>2</v>
      </c>
      <c r="Z84" s="5" t="s">
        <v>2</v>
      </c>
      <c r="AA84" s="5" t="s">
        <v>2</v>
      </c>
      <c r="AB84" s="21" t="s">
        <v>2</v>
      </c>
      <c r="AC84" s="26" t="s">
        <v>2</v>
      </c>
    </row>
    <row r="85" spans="2:29" x14ac:dyDescent="0.3">
      <c r="B85" s="7" t="s">
        <v>2744</v>
      </c>
      <c r="C85" s="1" t="s">
        <v>2744</v>
      </c>
      <c r="D85" s="8" t="s">
        <v>2744</v>
      </c>
      <c r="E85" s="1" t="s">
        <v>2744</v>
      </c>
      <c r="F85" s="1" t="s">
        <v>2744</v>
      </c>
      <c r="G85" s="1" t="s">
        <v>2744</v>
      </c>
      <c r="H85" s="1" t="s">
        <v>2744</v>
      </c>
      <c r="I85" s="1" t="s">
        <v>2744</v>
      </c>
      <c r="J85" s="1" t="s">
        <v>2744</v>
      </c>
      <c r="K85" s="1" t="s">
        <v>2744</v>
      </c>
      <c r="L85" s="1" t="s">
        <v>2744</v>
      </c>
      <c r="M85" s="1" t="s">
        <v>2744</v>
      </c>
      <c r="N85" s="1" t="s">
        <v>2744</v>
      </c>
      <c r="O85" s="1" t="s">
        <v>2744</v>
      </c>
      <c r="P85" s="1" t="s">
        <v>2744</v>
      </c>
      <c r="Q85" s="1" t="s">
        <v>2744</v>
      </c>
      <c r="R85" s="1" t="s">
        <v>2744</v>
      </c>
      <c r="S85" s="1" t="s">
        <v>2744</v>
      </c>
      <c r="T85" s="1" t="s">
        <v>2744</v>
      </c>
      <c r="U85" s="1" t="s">
        <v>2744</v>
      </c>
      <c r="V85" s="1" t="s">
        <v>2744</v>
      </c>
      <c r="W85" s="1" t="s">
        <v>2744</v>
      </c>
      <c r="X85" s="1" t="s">
        <v>2744</v>
      </c>
      <c r="Y85" s="1" t="s">
        <v>2744</v>
      </c>
      <c r="Z85" s="1" t="s">
        <v>2744</v>
      </c>
      <c r="AA85" s="1" t="s">
        <v>2744</v>
      </c>
      <c r="AB85" s="1" t="s">
        <v>2744</v>
      </c>
      <c r="AC85" s="1" t="s">
        <v>2744</v>
      </c>
    </row>
    <row r="86" spans="2:29" ht="56" x14ac:dyDescent="0.3">
      <c r="B86" s="19" t="s">
        <v>701</v>
      </c>
      <c r="C86" s="17" t="s">
        <v>1092</v>
      </c>
      <c r="D86" s="16"/>
      <c r="E86" s="2"/>
      <c r="F86" s="2"/>
      <c r="G86" s="2"/>
      <c r="H86" s="2"/>
      <c r="I86" s="2"/>
      <c r="J86" s="2"/>
      <c r="K86" s="3">
        <f>SUM(GMIC_22A_SCDPT5!SCDPT5_432BEGINNG_9:GMIC_22A_SCDPT5!SCDPT5_432ENDINGG_9)</f>
        <v>0</v>
      </c>
      <c r="L86" s="3">
        <f>SUM(GMIC_22A_SCDPT5!SCDPT5_432BEGINNG_10:GMIC_22A_SCDPT5!SCDPT5_432ENDINGG_10)</f>
        <v>0</v>
      </c>
      <c r="M86" s="3">
        <f>SUM(GMIC_22A_SCDPT5!SCDPT5_432BEGINNG_11:GMIC_22A_SCDPT5!SCDPT5_432ENDINGG_11)</f>
        <v>0</v>
      </c>
      <c r="N86" s="3">
        <f>SUM(GMIC_22A_SCDPT5!SCDPT5_432BEGINNG_12:GMIC_22A_SCDPT5!SCDPT5_432ENDINGG_12)</f>
        <v>0</v>
      </c>
      <c r="O86" s="3">
        <f>SUM(GMIC_22A_SCDPT5!SCDPT5_432BEGINNG_13:GMIC_22A_SCDPT5!SCDPT5_432ENDINGG_13)</f>
        <v>0</v>
      </c>
      <c r="P86" s="3">
        <f>SUM(GMIC_22A_SCDPT5!SCDPT5_432BEGINNG_14:GMIC_22A_SCDPT5!SCDPT5_432ENDINGG_14)</f>
        <v>0</v>
      </c>
      <c r="Q86" s="3">
        <f>SUM(GMIC_22A_SCDPT5!SCDPT5_432BEGINNG_15:GMIC_22A_SCDPT5!SCDPT5_432ENDINGG_15)</f>
        <v>0</v>
      </c>
      <c r="R86" s="3">
        <f>SUM(GMIC_22A_SCDPT5!SCDPT5_432BEGINNG_16:GMIC_22A_SCDPT5!SCDPT5_432ENDINGG_16)</f>
        <v>0</v>
      </c>
      <c r="S86" s="3">
        <f>SUM(GMIC_22A_SCDPT5!SCDPT5_432BEGINNG_17:GMIC_22A_SCDPT5!SCDPT5_432ENDINGG_17)</f>
        <v>0</v>
      </c>
      <c r="T86" s="3">
        <f>SUM(GMIC_22A_SCDPT5!SCDPT5_432BEGINNG_18:GMIC_22A_SCDPT5!SCDPT5_432ENDINGG_18)</f>
        <v>0</v>
      </c>
      <c r="U86" s="3">
        <f>SUM(GMIC_22A_SCDPT5!SCDPT5_432BEGINNG_19:GMIC_22A_SCDPT5!SCDPT5_432ENDINGG_19)</f>
        <v>0</v>
      </c>
      <c r="V86" s="3">
        <f>SUM(GMIC_22A_SCDPT5!SCDPT5_432BEGINNG_20:GMIC_22A_SCDPT5!SCDPT5_432ENDINGG_20)</f>
        <v>0</v>
      </c>
      <c r="W86" s="3">
        <f>SUM(GMIC_22A_SCDPT5!SCDPT5_432BEGINNG_21:GMIC_22A_SCDPT5!SCDPT5_432ENDINGG_21)</f>
        <v>0</v>
      </c>
      <c r="X86" s="2"/>
      <c r="Y86" s="2"/>
      <c r="Z86" s="2"/>
      <c r="AA86" s="2"/>
      <c r="AB86" s="2"/>
      <c r="AC86" s="2"/>
    </row>
    <row r="87" spans="2:29" x14ac:dyDescent="0.3">
      <c r="B87" s="19" t="s">
        <v>1859</v>
      </c>
      <c r="C87" s="17" t="s">
        <v>3843</v>
      </c>
      <c r="D87" s="16"/>
      <c r="E87" s="2"/>
      <c r="F87" s="2"/>
      <c r="G87" s="2"/>
      <c r="H87" s="2"/>
      <c r="I87" s="2"/>
      <c r="J87" s="2"/>
      <c r="K87" s="3">
        <f>GMIC_22A_SCDPT5!SCDPT5_4019999999_9+GMIC_22A_SCDPT5!SCDPT5_4029999999_9+GMIC_22A_SCDPT5!SCDPT5_4319999999_9+GMIC_22A_SCDPT5!SCDPT5_4329999999_9</f>
        <v>0</v>
      </c>
      <c r="L87" s="3">
        <f>GMIC_22A_SCDPT5!SCDPT5_4019999999_10+GMIC_22A_SCDPT5!SCDPT5_4029999999_10+GMIC_22A_SCDPT5!SCDPT5_4319999999_10+GMIC_22A_SCDPT5!SCDPT5_4329999999_10</f>
        <v>0</v>
      </c>
      <c r="M87" s="3">
        <f>GMIC_22A_SCDPT5!SCDPT5_4019999999_11+GMIC_22A_SCDPT5!SCDPT5_4029999999_11+GMIC_22A_SCDPT5!SCDPT5_4319999999_11+GMIC_22A_SCDPT5!SCDPT5_4329999999_11</f>
        <v>0</v>
      </c>
      <c r="N87" s="3">
        <f>GMIC_22A_SCDPT5!SCDPT5_4019999999_12+GMIC_22A_SCDPT5!SCDPT5_4029999999_12+GMIC_22A_SCDPT5!SCDPT5_4319999999_12+GMIC_22A_SCDPT5!SCDPT5_4329999999_12</f>
        <v>0</v>
      </c>
      <c r="O87" s="3">
        <f>GMIC_22A_SCDPT5!SCDPT5_4019999999_13+GMIC_22A_SCDPT5!SCDPT5_4029999999_13+GMIC_22A_SCDPT5!SCDPT5_4319999999_13+GMIC_22A_SCDPT5!SCDPT5_4329999999_13</f>
        <v>0</v>
      </c>
      <c r="P87" s="3">
        <f>GMIC_22A_SCDPT5!SCDPT5_4019999999_14+GMIC_22A_SCDPT5!SCDPT5_4029999999_14+GMIC_22A_SCDPT5!SCDPT5_4319999999_14+GMIC_22A_SCDPT5!SCDPT5_4329999999_14</f>
        <v>0</v>
      </c>
      <c r="Q87" s="3">
        <f>GMIC_22A_SCDPT5!SCDPT5_4019999999_15+GMIC_22A_SCDPT5!SCDPT5_4029999999_15+GMIC_22A_SCDPT5!SCDPT5_4319999999_15+GMIC_22A_SCDPT5!SCDPT5_4329999999_15</f>
        <v>0</v>
      </c>
      <c r="R87" s="3">
        <f>GMIC_22A_SCDPT5!SCDPT5_4019999999_16+GMIC_22A_SCDPT5!SCDPT5_4029999999_16+GMIC_22A_SCDPT5!SCDPT5_4319999999_16+GMIC_22A_SCDPT5!SCDPT5_4329999999_16</f>
        <v>0</v>
      </c>
      <c r="S87" s="3">
        <f>GMIC_22A_SCDPT5!SCDPT5_4019999999_17+GMIC_22A_SCDPT5!SCDPT5_4029999999_17+GMIC_22A_SCDPT5!SCDPT5_4319999999_17+GMIC_22A_SCDPT5!SCDPT5_4329999999_17</f>
        <v>0</v>
      </c>
      <c r="T87" s="3">
        <f>GMIC_22A_SCDPT5!SCDPT5_4019999999_18+GMIC_22A_SCDPT5!SCDPT5_4029999999_18+GMIC_22A_SCDPT5!SCDPT5_4319999999_18+GMIC_22A_SCDPT5!SCDPT5_4329999999_18</f>
        <v>0</v>
      </c>
      <c r="U87" s="3">
        <f>GMIC_22A_SCDPT5!SCDPT5_4019999999_19+GMIC_22A_SCDPT5!SCDPT5_4029999999_19+GMIC_22A_SCDPT5!SCDPT5_4319999999_19+GMIC_22A_SCDPT5!SCDPT5_4329999999_19</f>
        <v>0</v>
      </c>
      <c r="V87" s="3">
        <f>GMIC_22A_SCDPT5!SCDPT5_4019999999_20+GMIC_22A_SCDPT5!SCDPT5_4029999999_20+GMIC_22A_SCDPT5!SCDPT5_4319999999_20+GMIC_22A_SCDPT5!SCDPT5_4329999999_20</f>
        <v>0</v>
      </c>
      <c r="W87" s="3">
        <f>GMIC_22A_SCDPT5!SCDPT5_4019999999_21+GMIC_22A_SCDPT5!SCDPT5_4029999999_21+GMIC_22A_SCDPT5!SCDPT5_4319999999_21+GMIC_22A_SCDPT5!SCDPT5_4329999999_21</f>
        <v>0</v>
      </c>
      <c r="X87" s="2"/>
      <c r="Y87" s="2"/>
      <c r="Z87" s="2"/>
      <c r="AA87" s="2"/>
      <c r="AB87" s="2"/>
      <c r="AC87" s="2"/>
    </row>
    <row r="88" spans="2:29" x14ac:dyDescent="0.3">
      <c r="B88" s="7" t="s">
        <v>2744</v>
      </c>
      <c r="C88" s="1" t="s">
        <v>2744</v>
      </c>
      <c r="D88" s="8" t="s">
        <v>2744</v>
      </c>
      <c r="E88" s="1" t="s">
        <v>2744</v>
      </c>
      <c r="F88" s="1" t="s">
        <v>2744</v>
      </c>
      <c r="G88" s="1" t="s">
        <v>2744</v>
      </c>
      <c r="H88" s="1" t="s">
        <v>2744</v>
      </c>
      <c r="I88" s="1" t="s">
        <v>2744</v>
      </c>
      <c r="J88" s="1" t="s">
        <v>2744</v>
      </c>
      <c r="K88" s="1" t="s">
        <v>2744</v>
      </c>
      <c r="L88" s="1" t="s">
        <v>2744</v>
      </c>
      <c r="M88" s="1" t="s">
        <v>2744</v>
      </c>
      <c r="N88" s="1" t="s">
        <v>2744</v>
      </c>
      <c r="O88" s="1" t="s">
        <v>2744</v>
      </c>
      <c r="P88" s="1" t="s">
        <v>2744</v>
      </c>
      <c r="Q88" s="1" t="s">
        <v>2744</v>
      </c>
      <c r="R88" s="1" t="s">
        <v>2744</v>
      </c>
      <c r="S88" s="1" t="s">
        <v>2744</v>
      </c>
      <c r="T88" s="1" t="s">
        <v>2744</v>
      </c>
      <c r="U88" s="1" t="s">
        <v>2744</v>
      </c>
      <c r="V88" s="1" t="s">
        <v>2744</v>
      </c>
      <c r="W88" s="1" t="s">
        <v>2744</v>
      </c>
      <c r="X88" s="1" t="s">
        <v>2744</v>
      </c>
      <c r="Y88" s="1" t="s">
        <v>2744</v>
      </c>
      <c r="Z88" s="1" t="s">
        <v>2744</v>
      </c>
      <c r="AA88" s="1" t="s">
        <v>2744</v>
      </c>
      <c r="AB88" s="1" t="s">
        <v>2744</v>
      </c>
      <c r="AC88" s="1" t="s">
        <v>2744</v>
      </c>
    </row>
    <row r="89" spans="2:29" x14ac:dyDescent="0.3">
      <c r="B89" s="18" t="s">
        <v>3844</v>
      </c>
      <c r="C89" s="25" t="s">
        <v>3897</v>
      </c>
      <c r="D89" s="15" t="s">
        <v>2</v>
      </c>
      <c r="E89" s="20" t="s">
        <v>2</v>
      </c>
      <c r="F89" s="6"/>
      <c r="G89" s="5" t="s">
        <v>2</v>
      </c>
      <c r="H89" s="6"/>
      <c r="I89" s="5" t="s">
        <v>2</v>
      </c>
      <c r="J89" s="28"/>
      <c r="K89" s="4"/>
      <c r="L89" s="4"/>
      <c r="M89" s="4"/>
      <c r="N89" s="4"/>
      <c r="O89" s="4"/>
      <c r="P89" s="4"/>
      <c r="Q89" s="24"/>
      <c r="R89" s="4"/>
      <c r="S89" s="4"/>
      <c r="T89" s="4"/>
      <c r="U89" s="24"/>
      <c r="V89" s="4"/>
      <c r="W89" s="4"/>
      <c r="X89" s="2"/>
      <c r="Y89" s="5" t="s">
        <v>2</v>
      </c>
      <c r="Z89" s="5" t="s">
        <v>2</v>
      </c>
      <c r="AA89" s="5" t="s">
        <v>2</v>
      </c>
      <c r="AB89" s="21" t="s">
        <v>2</v>
      </c>
      <c r="AC89" s="26" t="s">
        <v>2</v>
      </c>
    </row>
    <row r="90" spans="2:29" x14ac:dyDescent="0.3">
      <c r="B90" s="7" t="s">
        <v>2744</v>
      </c>
      <c r="C90" s="1" t="s">
        <v>2744</v>
      </c>
      <c r="D90" s="8" t="s">
        <v>2744</v>
      </c>
      <c r="E90" s="1" t="s">
        <v>2744</v>
      </c>
      <c r="F90" s="1" t="s">
        <v>2744</v>
      </c>
      <c r="G90" s="1" t="s">
        <v>2744</v>
      </c>
      <c r="H90" s="1" t="s">
        <v>2744</v>
      </c>
      <c r="I90" s="1" t="s">
        <v>2744</v>
      </c>
      <c r="J90" s="1" t="s">
        <v>2744</v>
      </c>
      <c r="K90" s="1" t="s">
        <v>2744</v>
      </c>
      <c r="L90" s="1" t="s">
        <v>2744</v>
      </c>
      <c r="M90" s="1" t="s">
        <v>2744</v>
      </c>
      <c r="N90" s="1" t="s">
        <v>2744</v>
      </c>
      <c r="O90" s="1" t="s">
        <v>2744</v>
      </c>
      <c r="P90" s="1" t="s">
        <v>2744</v>
      </c>
      <c r="Q90" s="1" t="s">
        <v>2744</v>
      </c>
      <c r="R90" s="1" t="s">
        <v>2744</v>
      </c>
      <c r="S90" s="1" t="s">
        <v>2744</v>
      </c>
      <c r="T90" s="1" t="s">
        <v>2744</v>
      </c>
      <c r="U90" s="1" t="s">
        <v>2744</v>
      </c>
      <c r="V90" s="1" t="s">
        <v>2744</v>
      </c>
      <c r="W90" s="1" t="s">
        <v>2744</v>
      </c>
      <c r="X90" s="1" t="s">
        <v>2744</v>
      </c>
      <c r="Y90" s="1" t="s">
        <v>2744</v>
      </c>
      <c r="Z90" s="1" t="s">
        <v>2744</v>
      </c>
      <c r="AA90" s="1" t="s">
        <v>2744</v>
      </c>
      <c r="AB90" s="1" t="s">
        <v>2744</v>
      </c>
      <c r="AC90" s="1" t="s">
        <v>2744</v>
      </c>
    </row>
    <row r="91" spans="2:29" ht="42" x14ac:dyDescent="0.3">
      <c r="B91" s="19" t="s">
        <v>452</v>
      </c>
      <c r="C91" s="17" t="s">
        <v>462</v>
      </c>
      <c r="D91" s="16"/>
      <c r="E91" s="2"/>
      <c r="F91" s="2"/>
      <c r="G91" s="2"/>
      <c r="H91" s="2"/>
      <c r="I91" s="2"/>
      <c r="J91" s="2"/>
      <c r="K91" s="3">
        <f>SUM(GMIC_22A_SCDPT5!SCDPT5_501BEGINNG_9:GMIC_22A_SCDPT5!SCDPT5_501ENDINGG_9)</f>
        <v>0</v>
      </c>
      <c r="L91" s="3">
        <f>SUM(GMIC_22A_SCDPT5!SCDPT5_501BEGINNG_10:GMIC_22A_SCDPT5!SCDPT5_501ENDINGG_10)</f>
        <v>0</v>
      </c>
      <c r="M91" s="3">
        <f>SUM(GMIC_22A_SCDPT5!SCDPT5_501BEGINNG_11:GMIC_22A_SCDPT5!SCDPT5_501ENDINGG_11)</f>
        <v>0</v>
      </c>
      <c r="N91" s="3">
        <f>SUM(GMIC_22A_SCDPT5!SCDPT5_501BEGINNG_12:GMIC_22A_SCDPT5!SCDPT5_501ENDINGG_12)</f>
        <v>0</v>
      </c>
      <c r="O91" s="3">
        <f>SUM(GMIC_22A_SCDPT5!SCDPT5_501BEGINNG_13:GMIC_22A_SCDPT5!SCDPT5_501ENDINGG_13)</f>
        <v>0</v>
      </c>
      <c r="P91" s="3">
        <f>SUM(GMIC_22A_SCDPT5!SCDPT5_501BEGINNG_14:GMIC_22A_SCDPT5!SCDPT5_501ENDINGG_14)</f>
        <v>0</v>
      </c>
      <c r="Q91" s="3">
        <f>SUM(GMIC_22A_SCDPT5!SCDPT5_501BEGINNG_15:GMIC_22A_SCDPT5!SCDPT5_501ENDINGG_15)</f>
        <v>0</v>
      </c>
      <c r="R91" s="3">
        <f>SUM(GMIC_22A_SCDPT5!SCDPT5_501BEGINNG_16:GMIC_22A_SCDPT5!SCDPT5_501ENDINGG_16)</f>
        <v>0</v>
      </c>
      <c r="S91" s="3">
        <f>SUM(GMIC_22A_SCDPT5!SCDPT5_501BEGINNG_17:GMIC_22A_SCDPT5!SCDPT5_501ENDINGG_17)</f>
        <v>0</v>
      </c>
      <c r="T91" s="3">
        <f>SUM(GMIC_22A_SCDPT5!SCDPT5_501BEGINNG_18:GMIC_22A_SCDPT5!SCDPT5_501ENDINGG_18)</f>
        <v>0</v>
      </c>
      <c r="U91" s="3">
        <f>SUM(GMIC_22A_SCDPT5!SCDPT5_501BEGINNG_19:GMIC_22A_SCDPT5!SCDPT5_501ENDINGG_19)</f>
        <v>0</v>
      </c>
      <c r="V91" s="3">
        <f>SUM(GMIC_22A_SCDPT5!SCDPT5_501BEGINNG_20:GMIC_22A_SCDPT5!SCDPT5_501ENDINGG_20)</f>
        <v>0</v>
      </c>
      <c r="W91" s="3">
        <f>SUM(GMIC_22A_SCDPT5!SCDPT5_501BEGINNG_21:GMIC_22A_SCDPT5!SCDPT5_501ENDINGG_21)</f>
        <v>0</v>
      </c>
      <c r="X91" s="2"/>
      <c r="Y91" s="2"/>
      <c r="Z91" s="2"/>
      <c r="AA91" s="2"/>
      <c r="AB91" s="2"/>
      <c r="AC91" s="2"/>
    </row>
    <row r="92" spans="2:29" x14ac:dyDescent="0.3">
      <c r="B92" s="7" t="s">
        <v>2744</v>
      </c>
      <c r="C92" s="1" t="s">
        <v>2744</v>
      </c>
      <c r="D92" s="8" t="s">
        <v>2744</v>
      </c>
      <c r="E92" s="1" t="s">
        <v>2744</v>
      </c>
      <c r="F92" s="1" t="s">
        <v>2744</v>
      </c>
      <c r="G92" s="1" t="s">
        <v>2744</v>
      </c>
      <c r="H92" s="1" t="s">
        <v>2744</v>
      </c>
      <c r="I92" s="1" t="s">
        <v>2744</v>
      </c>
      <c r="J92" s="1" t="s">
        <v>2744</v>
      </c>
      <c r="K92" s="1" t="s">
        <v>2744</v>
      </c>
      <c r="L92" s="1" t="s">
        <v>2744</v>
      </c>
      <c r="M92" s="1" t="s">
        <v>2744</v>
      </c>
      <c r="N92" s="1" t="s">
        <v>2744</v>
      </c>
      <c r="O92" s="1" t="s">
        <v>2744</v>
      </c>
      <c r="P92" s="1" t="s">
        <v>2744</v>
      </c>
      <c r="Q92" s="1" t="s">
        <v>2744</v>
      </c>
      <c r="R92" s="1" t="s">
        <v>2744</v>
      </c>
      <c r="S92" s="1" t="s">
        <v>2744</v>
      </c>
      <c r="T92" s="1" t="s">
        <v>2744</v>
      </c>
      <c r="U92" s="1" t="s">
        <v>2744</v>
      </c>
      <c r="V92" s="1" t="s">
        <v>2744</v>
      </c>
      <c r="W92" s="1" t="s">
        <v>2744</v>
      </c>
      <c r="X92" s="1" t="s">
        <v>2744</v>
      </c>
      <c r="Y92" s="1" t="s">
        <v>2744</v>
      </c>
      <c r="Z92" s="1" t="s">
        <v>2744</v>
      </c>
      <c r="AA92" s="1" t="s">
        <v>2744</v>
      </c>
      <c r="AB92" s="1" t="s">
        <v>2744</v>
      </c>
      <c r="AC92" s="1" t="s">
        <v>2744</v>
      </c>
    </row>
    <row r="93" spans="2:29" x14ac:dyDescent="0.3">
      <c r="B93" s="18" t="s">
        <v>2971</v>
      </c>
      <c r="C93" s="25" t="s">
        <v>3897</v>
      </c>
      <c r="D93" s="15" t="s">
        <v>2</v>
      </c>
      <c r="E93" s="20" t="s">
        <v>2</v>
      </c>
      <c r="F93" s="6"/>
      <c r="G93" s="5" t="s">
        <v>2</v>
      </c>
      <c r="H93" s="6"/>
      <c r="I93" s="5" t="s">
        <v>2</v>
      </c>
      <c r="J93" s="28"/>
      <c r="K93" s="4"/>
      <c r="L93" s="4"/>
      <c r="M93" s="4"/>
      <c r="N93" s="4"/>
      <c r="O93" s="4"/>
      <c r="P93" s="4"/>
      <c r="Q93" s="24"/>
      <c r="R93" s="4"/>
      <c r="S93" s="4"/>
      <c r="T93" s="4"/>
      <c r="U93" s="24"/>
      <c r="V93" s="4"/>
      <c r="W93" s="4"/>
      <c r="X93" s="2"/>
      <c r="Y93" s="5" t="s">
        <v>2</v>
      </c>
      <c r="Z93" s="5" t="s">
        <v>2</v>
      </c>
      <c r="AA93" s="5" t="s">
        <v>2</v>
      </c>
      <c r="AB93" s="21" t="s">
        <v>2</v>
      </c>
      <c r="AC93" s="26" t="s">
        <v>2</v>
      </c>
    </row>
    <row r="94" spans="2:29" x14ac:dyDescent="0.3">
      <c r="B94" s="7" t="s">
        <v>2744</v>
      </c>
      <c r="C94" s="1" t="s">
        <v>2744</v>
      </c>
      <c r="D94" s="8" t="s">
        <v>2744</v>
      </c>
      <c r="E94" s="1" t="s">
        <v>2744</v>
      </c>
      <c r="F94" s="1" t="s">
        <v>2744</v>
      </c>
      <c r="G94" s="1" t="s">
        <v>2744</v>
      </c>
      <c r="H94" s="1" t="s">
        <v>2744</v>
      </c>
      <c r="I94" s="1" t="s">
        <v>2744</v>
      </c>
      <c r="J94" s="1" t="s">
        <v>2744</v>
      </c>
      <c r="K94" s="1" t="s">
        <v>2744</v>
      </c>
      <c r="L94" s="1" t="s">
        <v>2744</v>
      </c>
      <c r="M94" s="1" t="s">
        <v>2744</v>
      </c>
      <c r="N94" s="1" t="s">
        <v>2744</v>
      </c>
      <c r="O94" s="1" t="s">
        <v>2744</v>
      </c>
      <c r="P94" s="1" t="s">
        <v>2744</v>
      </c>
      <c r="Q94" s="1" t="s">
        <v>2744</v>
      </c>
      <c r="R94" s="1" t="s">
        <v>2744</v>
      </c>
      <c r="S94" s="1" t="s">
        <v>2744</v>
      </c>
      <c r="T94" s="1" t="s">
        <v>2744</v>
      </c>
      <c r="U94" s="1" t="s">
        <v>2744</v>
      </c>
      <c r="V94" s="1" t="s">
        <v>2744</v>
      </c>
      <c r="W94" s="1" t="s">
        <v>2744</v>
      </c>
      <c r="X94" s="1" t="s">
        <v>2744</v>
      </c>
      <c r="Y94" s="1" t="s">
        <v>2744</v>
      </c>
      <c r="Z94" s="1" t="s">
        <v>2744</v>
      </c>
      <c r="AA94" s="1" t="s">
        <v>2744</v>
      </c>
      <c r="AB94" s="1" t="s">
        <v>2744</v>
      </c>
      <c r="AC94" s="1" t="s">
        <v>2744</v>
      </c>
    </row>
    <row r="95" spans="2:29" ht="42" x14ac:dyDescent="0.3">
      <c r="B95" s="19" t="s">
        <v>4117</v>
      </c>
      <c r="C95" s="17" t="s">
        <v>3000</v>
      </c>
      <c r="D95" s="16"/>
      <c r="E95" s="2"/>
      <c r="F95" s="2"/>
      <c r="G95" s="2"/>
      <c r="H95" s="2"/>
      <c r="I95" s="2"/>
      <c r="J95" s="2"/>
      <c r="K95" s="3">
        <f>SUM(GMIC_22A_SCDPT5!SCDPT5_502BEGINNG_9:GMIC_22A_SCDPT5!SCDPT5_502ENDINGG_9)</f>
        <v>0</v>
      </c>
      <c r="L95" s="3">
        <f>SUM(GMIC_22A_SCDPT5!SCDPT5_502BEGINNG_10:GMIC_22A_SCDPT5!SCDPT5_502ENDINGG_10)</f>
        <v>0</v>
      </c>
      <c r="M95" s="3">
        <f>SUM(GMIC_22A_SCDPT5!SCDPT5_502BEGINNG_11:GMIC_22A_SCDPT5!SCDPT5_502ENDINGG_11)</f>
        <v>0</v>
      </c>
      <c r="N95" s="3">
        <f>SUM(GMIC_22A_SCDPT5!SCDPT5_502BEGINNG_12:GMIC_22A_SCDPT5!SCDPT5_502ENDINGG_12)</f>
        <v>0</v>
      </c>
      <c r="O95" s="3">
        <f>SUM(GMIC_22A_SCDPT5!SCDPT5_502BEGINNG_13:GMIC_22A_SCDPT5!SCDPT5_502ENDINGG_13)</f>
        <v>0</v>
      </c>
      <c r="P95" s="3">
        <f>SUM(GMIC_22A_SCDPT5!SCDPT5_502BEGINNG_14:GMIC_22A_SCDPT5!SCDPT5_502ENDINGG_14)</f>
        <v>0</v>
      </c>
      <c r="Q95" s="3">
        <f>SUM(GMIC_22A_SCDPT5!SCDPT5_502BEGINNG_15:GMIC_22A_SCDPT5!SCDPT5_502ENDINGG_15)</f>
        <v>0</v>
      </c>
      <c r="R95" s="3">
        <f>SUM(GMIC_22A_SCDPT5!SCDPT5_502BEGINNG_16:GMIC_22A_SCDPT5!SCDPT5_502ENDINGG_16)</f>
        <v>0</v>
      </c>
      <c r="S95" s="3">
        <f>SUM(GMIC_22A_SCDPT5!SCDPT5_502BEGINNG_17:GMIC_22A_SCDPT5!SCDPT5_502ENDINGG_17)</f>
        <v>0</v>
      </c>
      <c r="T95" s="3">
        <f>SUM(GMIC_22A_SCDPT5!SCDPT5_502BEGINNG_18:GMIC_22A_SCDPT5!SCDPT5_502ENDINGG_18)</f>
        <v>0</v>
      </c>
      <c r="U95" s="3">
        <f>SUM(GMIC_22A_SCDPT5!SCDPT5_502BEGINNG_19:GMIC_22A_SCDPT5!SCDPT5_502ENDINGG_19)</f>
        <v>0</v>
      </c>
      <c r="V95" s="3">
        <f>SUM(GMIC_22A_SCDPT5!SCDPT5_502BEGINNG_20:GMIC_22A_SCDPT5!SCDPT5_502ENDINGG_20)</f>
        <v>0</v>
      </c>
      <c r="W95" s="3">
        <f>SUM(GMIC_22A_SCDPT5!SCDPT5_502BEGINNG_21:GMIC_22A_SCDPT5!SCDPT5_502ENDINGG_21)</f>
        <v>0</v>
      </c>
      <c r="X95" s="2"/>
      <c r="Y95" s="2"/>
      <c r="Z95" s="2"/>
      <c r="AA95" s="2"/>
      <c r="AB95" s="2"/>
      <c r="AC95" s="2"/>
    </row>
    <row r="96" spans="2:29" x14ac:dyDescent="0.3">
      <c r="B96" s="7" t="s">
        <v>2744</v>
      </c>
      <c r="C96" s="1" t="s">
        <v>2744</v>
      </c>
      <c r="D96" s="8" t="s">
        <v>2744</v>
      </c>
      <c r="E96" s="1" t="s">
        <v>2744</v>
      </c>
      <c r="F96" s="1" t="s">
        <v>2744</v>
      </c>
      <c r="G96" s="1" t="s">
        <v>2744</v>
      </c>
      <c r="H96" s="1" t="s">
        <v>2744</v>
      </c>
      <c r="I96" s="1" t="s">
        <v>2744</v>
      </c>
      <c r="J96" s="1" t="s">
        <v>2744</v>
      </c>
      <c r="K96" s="1" t="s">
        <v>2744</v>
      </c>
      <c r="L96" s="1" t="s">
        <v>2744</v>
      </c>
      <c r="M96" s="1" t="s">
        <v>2744</v>
      </c>
      <c r="N96" s="1" t="s">
        <v>2744</v>
      </c>
      <c r="O96" s="1" t="s">
        <v>2744</v>
      </c>
      <c r="P96" s="1" t="s">
        <v>2744</v>
      </c>
      <c r="Q96" s="1" t="s">
        <v>2744</v>
      </c>
      <c r="R96" s="1" t="s">
        <v>2744</v>
      </c>
      <c r="S96" s="1" t="s">
        <v>2744</v>
      </c>
      <c r="T96" s="1" t="s">
        <v>2744</v>
      </c>
      <c r="U96" s="1" t="s">
        <v>2744</v>
      </c>
      <c r="V96" s="1" t="s">
        <v>2744</v>
      </c>
      <c r="W96" s="1" t="s">
        <v>2744</v>
      </c>
      <c r="X96" s="1" t="s">
        <v>2744</v>
      </c>
      <c r="Y96" s="1" t="s">
        <v>2744</v>
      </c>
      <c r="Z96" s="1" t="s">
        <v>2744</v>
      </c>
      <c r="AA96" s="1" t="s">
        <v>2744</v>
      </c>
      <c r="AB96" s="1" t="s">
        <v>2744</v>
      </c>
      <c r="AC96" s="1" t="s">
        <v>2744</v>
      </c>
    </row>
    <row r="97" spans="2:29" x14ac:dyDescent="0.3">
      <c r="B97" s="18" t="s">
        <v>198</v>
      </c>
      <c r="C97" s="25" t="s">
        <v>3897</v>
      </c>
      <c r="D97" s="15" t="s">
        <v>2</v>
      </c>
      <c r="E97" s="20" t="s">
        <v>2</v>
      </c>
      <c r="F97" s="6"/>
      <c r="G97" s="5" t="s">
        <v>2</v>
      </c>
      <c r="H97" s="6"/>
      <c r="I97" s="5" t="s">
        <v>2</v>
      </c>
      <c r="J97" s="28"/>
      <c r="K97" s="4"/>
      <c r="L97" s="4"/>
      <c r="M97" s="4"/>
      <c r="N97" s="4"/>
      <c r="O97" s="4"/>
      <c r="P97" s="4"/>
      <c r="Q97" s="24"/>
      <c r="R97" s="4"/>
      <c r="S97" s="4"/>
      <c r="T97" s="4"/>
      <c r="U97" s="24"/>
      <c r="V97" s="4"/>
      <c r="W97" s="4"/>
      <c r="X97" s="2"/>
      <c r="Y97" s="5" t="s">
        <v>2</v>
      </c>
      <c r="Z97" s="5" t="s">
        <v>2</v>
      </c>
      <c r="AA97" s="5" t="s">
        <v>2</v>
      </c>
      <c r="AB97" s="21" t="s">
        <v>2</v>
      </c>
      <c r="AC97" s="26" t="s">
        <v>2</v>
      </c>
    </row>
    <row r="98" spans="2:29" x14ac:dyDescent="0.3">
      <c r="B98" s="7" t="s">
        <v>2744</v>
      </c>
      <c r="C98" s="1" t="s">
        <v>2744</v>
      </c>
      <c r="D98" s="8" t="s">
        <v>2744</v>
      </c>
      <c r="E98" s="1" t="s">
        <v>2744</v>
      </c>
      <c r="F98" s="1" t="s">
        <v>2744</v>
      </c>
      <c r="G98" s="1" t="s">
        <v>2744</v>
      </c>
      <c r="H98" s="1" t="s">
        <v>2744</v>
      </c>
      <c r="I98" s="1" t="s">
        <v>2744</v>
      </c>
      <c r="J98" s="1" t="s">
        <v>2744</v>
      </c>
      <c r="K98" s="1" t="s">
        <v>2744</v>
      </c>
      <c r="L98" s="1" t="s">
        <v>2744</v>
      </c>
      <c r="M98" s="1" t="s">
        <v>2744</v>
      </c>
      <c r="N98" s="1" t="s">
        <v>2744</v>
      </c>
      <c r="O98" s="1" t="s">
        <v>2744</v>
      </c>
      <c r="P98" s="1" t="s">
        <v>2744</v>
      </c>
      <c r="Q98" s="1" t="s">
        <v>2744</v>
      </c>
      <c r="R98" s="1" t="s">
        <v>2744</v>
      </c>
      <c r="S98" s="1" t="s">
        <v>2744</v>
      </c>
      <c r="T98" s="1" t="s">
        <v>2744</v>
      </c>
      <c r="U98" s="1" t="s">
        <v>2744</v>
      </c>
      <c r="V98" s="1" t="s">
        <v>2744</v>
      </c>
      <c r="W98" s="1" t="s">
        <v>2744</v>
      </c>
      <c r="X98" s="1" t="s">
        <v>2744</v>
      </c>
      <c r="Y98" s="1" t="s">
        <v>2744</v>
      </c>
      <c r="Z98" s="1" t="s">
        <v>2744</v>
      </c>
      <c r="AA98" s="1" t="s">
        <v>2744</v>
      </c>
      <c r="AB98" s="1" t="s">
        <v>2744</v>
      </c>
      <c r="AC98" s="1" t="s">
        <v>2744</v>
      </c>
    </row>
    <row r="99" spans="2:29" ht="42" x14ac:dyDescent="0.3">
      <c r="B99" s="19" t="s">
        <v>1344</v>
      </c>
      <c r="C99" s="17" t="s">
        <v>702</v>
      </c>
      <c r="D99" s="16"/>
      <c r="E99" s="2"/>
      <c r="F99" s="2"/>
      <c r="G99" s="2"/>
      <c r="H99" s="2"/>
      <c r="I99" s="2"/>
      <c r="J99" s="2"/>
      <c r="K99" s="3">
        <f>SUM(GMIC_22A_SCDPT5!SCDPT5_531BEGINNG_9:GMIC_22A_SCDPT5!SCDPT5_531ENDINGG_9)</f>
        <v>0</v>
      </c>
      <c r="L99" s="3">
        <f>SUM(GMIC_22A_SCDPT5!SCDPT5_531BEGINNG_10:GMIC_22A_SCDPT5!SCDPT5_531ENDINGG_10)</f>
        <v>0</v>
      </c>
      <c r="M99" s="3">
        <f>SUM(GMIC_22A_SCDPT5!SCDPT5_531BEGINNG_11:GMIC_22A_SCDPT5!SCDPT5_531ENDINGG_11)</f>
        <v>0</v>
      </c>
      <c r="N99" s="3">
        <f>SUM(GMIC_22A_SCDPT5!SCDPT5_531BEGINNG_12:GMIC_22A_SCDPT5!SCDPT5_531ENDINGG_12)</f>
        <v>0</v>
      </c>
      <c r="O99" s="3">
        <f>SUM(GMIC_22A_SCDPT5!SCDPT5_531BEGINNG_13:GMIC_22A_SCDPT5!SCDPT5_531ENDINGG_13)</f>
        <v>0</v>
      </c>
      <c r="P99" s="3">
        <f>SUM(GMIC_22A_SCDPT5!SCDPT5_531BEGINNG_14:GMIC_22A_SCDPT5!SCDPT5_531ENDINGG_14)</f>
        <v>0</v>
      </c>
      <c r="Q99" s="3">
        <f>SUM(GMIC_22A_SCDPT5!SCDPT5_531BEGINNG_15:GMIC_22A_SCDPT5!SCDPT5_531ENDINGG_15)</f>
        <v>0</v>
      </c>
      <c r="R99" s="3">
        <f>SUM(GMIC_22A_SCDPT5!SCDPT5_531BEGINNG_16:GMIC_22A_SCDPT5!SCDPT5_531ENDINGG_16)</f>
        <v>0</v>
      </c>
      <c r="S99" s="3">
        <f>SUM(GMIC_22A_SCDPT5!SCDPT5_531BEGINNG_17:GMIC_22A_SCDPT5!SCDPT5_531ENDINGG_17)</f>
        <v>0</v>
      </c>
      <c r="T99" s="3">
        <f>SUM(GMIC_22A_SCDPT5!SCDPT5_531BEGINNG_18:GMIC_22A_SCDPT5!SCDPT5_531ENDINGG_18)</f>
        <v>0</v>
      </c>
      <c r="U99" s="3">
        <f>SUM(GMIC_22A_SCDPT5!SCDPT5_531BEGINNG_19:GMIC_22A_SCDPT5!SCDPT5_531ENDINGG_19)</f>
        <v>0</v>
      </c>
      <c r="V99" s="3">
        <f>SUM(GMIC_22A_SCDPT5!SCDPT5_531BEGINNG_20:GMIC_22A_SCDPT5!SCDPT5_531ENDINGG_20)</f>
        <v>0</v>
      </c>
      <c r="W99" s="3">
        <f>SUM(GMIC_22A_SCDPT5!SCDPT5_531BEGINNG_21:GMIC_22A_SCDPT5!SCDPT5_531ENDINGG_21)</f>
        <v>0</v>
      </c>
      <c r="X99" s="2"/>
      <c r="Y99" s="2"/>
      <c r="Z99" s="2"/>
      <c r="AA99" s="2"/>
      <c r="AB99" s="2"/>
      <c r="AC99" s="2"/>
    </row>
    <row r="100" spans="2:29" x14ac:dyDescent="0.3">
      <c r="B100" s="7" t="s">
        <v>2744</v>
      </c>
      <c r="C100" s="1" t="s">
        <v>2744</v>
      </c>
      <c r="D100" s="8" t="s">
        <v>2744</v>
      </c>
      <c r="E100" s="1" t="s">
        <v>2744</v>
      </c>
      <c r="F100" s="1" t="s">
        <v>2744</v>
      </c>
      <c r="G100" s="1" t="s">
        <v>2744</v>
      </c>
      <c r="H100" s="1" t="s">
        <v>2744</v>
      </c>
      <c r="I100" s="1" t="s">
        <v>2744</v>
      </c>
      <c r="J100" s="1" t="s">
        <v>2744</v>
      </c>
      <c r="K100" s="1" t="s">
        <v>2744</v>
      </c>
      <c r="L100" s="1" t="s">
        <v>2744</v>
      </c>
      <c r="M100" s="1" t="s">
        <v>2744</v>
      </c>
      <c r="N100" s="1" t="s">
        <v>2744</v>
      </c>
      <c r="O100" s="1" t="s">
        <v>2744</v>
      </c>
      <c r="P100" s="1" t="s">
        <v>2744</v>
      </c>
      <c r="Q100" s="1" t="s">
        <v>2744</v>
      </c>
      <c r="R100" s="1" t="s">
        <v>2744</v>
      </c>
      <c r="S100" s="1" t="s">
        <v>2744</v>
      </c>
      <c r="T100" s="1" t="s">
        <v>2744</v>
      </c>
      <c r="U100" s="1" t="s">
        <v>2744</v>
      </c>
      <c r="V100" s="1" t="s">
        <v>2744</v>
      </c>
      <c r="W100" s="1" t="s">
        <v>2744</v>
      </c>
      <c r="X100" s="1" t="s">
        <v>2744</v>
      </c>
      <c r="Y100" s="1" t="s">
        <v>2744</v>
      </c>
      <c r="Z100" s="1" t="s">
        <v>2744</v>
      </c>
      <c r="AA100" s="1" t="s">
        <v>2744</v>
      </c>
      <c r="AB100" s="1" t="s">
        <v>2744</v>
      </c>
      <c r="AC100" s="1" t="s">
        <v>2744</v>
      </c>
    </row>
    <row r="101" spans="2:29" x14ac:dyDescent="0.3">
      <c r="B101" s="18" t="s">
        <v>3845</v>
      </c>
      <c r="C101" s="25" t="s">
        <v>3897</v>
      </c>
      <c r="D101" s="15" t="s">
        <v>2</v>
      </c>
      <c r="E101" s="20" t="s">
        <v>2</v>
      </c>
      <c r="F101" s="6"/>
      <c r="G101" s="5" t="s">
        <v>2</v>
      </c>
      <c r="H101" s="6"/>
      <c r="I101" s="5" t="s">
        <v>2</v>
      </c>
      <c r="J101" s="28"/>
      <c r="K101" s="4"/>
      <c r="L101" s="4"/>
      <c r="M101" s="4"/>
      <c r="N101" s="4"/>
      <c r="O101" s="4"/>
      <c r="P101" s="4"/>
      <c r="Q101" s="24"/>
      <c r="R101" s="4"/>
      <c r="S101" s="4"/>
      <c r="T101" s="4"/>
      <c r="U101" s="24"/>
      <c r="V101" s="4"/>
      <c r="W101" s="4"/>
      <c r="X101" s="2"/>
      <c r="Y101" s="5" t="s">
        <v>2</v>
      </c>
      <c r="Z101" s="5" t="s">
        <v>2</v>
      </c>
      <c r="AA101" s="5" t="s">
        <v>2</v>
      </c>
      <c r="AB101" s="21" t="s">
        <v>2</v>
      </c>
      <c r="AC101" s="26" t="s">
        <v>2</v>
      </c>
    </row>
    <row r="102" spans="2:29" x14ac:dyDescent="0.3">
      <c r="B102" s="7" t="s">
        <v>2744</v>
      </c>
      <c r="C102" s="1" t="s">
        <v>2744</v>
      </c>
      <c r="D102" s="8" t="s">
        <v>2744</v>
      </c>
      <c r="E102" s="1" t="s">
        <v>2744</v>
      </c>
      <c r="F102" s="1" t="s">
        <v>2744</v>
      </c>
      <c r="G102" s="1" t="s">
        <v>2744</v>
      </c>
      <c r="H102" s="1" t="s">
        <v>2744</v>
      </c>
      <c r="I102" s="1" t="s">
        <v>2744</v>
      </c>
      <c r="J102" s="1" t="s">
        <v>2744</v>
      </c>
      <c r="K102" s="1" t="s">
        <v>2744</v>
      </c>
      <c r="L102" s="1" t="s">
        <v>2744</v>
      </c>
      <c r="M102" s="1" t="s">
        <v>2744</v>
      </c>
      <c r="N102" s="1" t="s">
        <v>2744</v>
      </c>
      <c r="O102" s="1" t="s">
        <v>2744</v>
      </c>
      <c r="P102" s="1" t="s">
        <v>2744</v>
      </c>
      <c r="Q102" s="1" t="s">
        <v>2744</v>
      </c>
      <c r="R102" s="1" t="s">
        <v>2744</v>
      </c>
      <c r="S102" s="1" t="s">
        <v>2744</v>
      </c>
      <c r="T102" s="1" t="s">
        <v>2744</v>
      </c>
      <c r="U102" s="1" t="s">
        <v>2744</v>
      </c>
      <c r="V102" s="1" t="s">
        <v>2744</v>
      </c>
      <c r="W102" s="1" t="s">
        <v>2744</v>
      </c>
      <c r="X102" s="1" t="s">
        <v>2744</v>
      </c>
      <c r="Y102" s="1" t="s">
        <v>2744</v>
      </c>
      <c r="Z102" s="1" t="s">
        <v>2744</v>
      </c>
      <c r="AA102" s="1" t="s">
        <v>2744</v>
      </c>
      <c r="AB102" s="1" t="s">
        <v>2744</v>
      </c>
      <c r="AC102" s="1" t="s">
        <v>2744</v>
      </c>
    </row>
    <row r="103" spans="2:29" ht="42" x14ac:dyDescent="0.3">
      <c r="B103" s="19" t="s">
        <v>454</v>
      </c>
      <c r="C103" s="17" t="s">
        <v>3846</v>
      </c>
      <c r="D103" s="16"/>
      <c r="E103" s="2"/>
      <c r="F103" s="2"/>
      <c r="G103" s="2"/>
      <c r="H103" s="2"/>
      <c r="I103" s="2"/>
      <c r="J103" s="2"/>
      <c r="K103" s="3">
        <f>SUM(GMIC_22A_SCDPT5!SCDPT5_532BEGINNG_9:GMIC_22A_SCDPT5!SCDPT5_532ENDINGG_9)</f>
        <v>0</v>
      </c>
      <c r="L103" s="3">
        <f>SUM(GMIC_22A_SCDPT5!SCDPT5_532BEGINNG_10:GMIC_22A_SCDPT5!SCDPT5_532ENDINGG_10)</f>
        <v>0</v>
      </c>
      <c r="M103" s="3">
        <f>SUM(GMIC_22A_SCDPT5!SCDPT5_532BEGINNG_11:GMIC_22A_SCDPT5!SCDPT5_532ENDINGG_11)</f>
        <v>0</v>
      </c>
      <c r="N103" s="3">
        <f>SUM(GMIC_22A_SCDPT5!SCDPT5_532BEGINNG_12:GMIC_22A_SCDPT5!SCDPT5_532ENDINGG_12)</f>
        <v>0</v>
      </c>
      <c r="O103" s="3">
        <f>SUM(GMIC_22A_SCDPT5!SCDPT5_532BEGINNG_13:GMIC_22A_SCDPT5!SCDPT5_532ENDINGG_13)</f>
        <v>0</v>
      </c>
      <c r="P103" s="3">
        <f>SUM(GMIC_22A_SCDPT5!SCDPT5_532BEGINNG_14:GMIC_22A_SCDPT5!SCDPT5_532ENDINGG_14)</f>
        <v>0</v>
      </c>
      <c r="Q103" s="3">
        <f>SUM(GMIC_22A_SCDPT5!SCDPT5_532BEGINNG_15:GMIC_22A_SCDPT5!SCDPT5_532ENDINGG_15)</f>
        <v>0</v>
      </c>
      <c r="R103" s="3">
        <f>SUM(GMIC_22A_SCDPT5!SCDPT5_532BEGINNG_16:GMIC_22A_SCDPT5!SCDPT5_532ENDINGG_16)</f>
        <v>0</v>
      </c>
      <c r="S103" s="3">
        <f>SUM(GMIC_22A_SCDPT5!SCDPT5_532BEGINNG_17:GMIC_22A_SCDPT5!SCDPT5_532ENDINGG_17)</f>
        <v>0</v>
      </c>
      <c r="T103" s="3">
        <f>SUM(GMIC_22A_SCDPT5!SCDPT5_532BEGINNG_18:GMIC_22A_SCDPT5!SCDPT5_532ENDINGG_18)</f>
        <v>0</v>
      </c>
      <c r="U103" s="3">
        <f>SUM(GMIC_22A_SCDPT5!SCDPT5_532BEGINNG_19:GMIC_22A_SCDPT5!SCDPT5_532ENDINGG_19)</f>
        <v>0</v>
      </c>
      <c r="V103" s="3">
        <f>SUM(GMIC_22A_SCDPT5!SCDPT5_532BEGINNG_20:GMIC_22A_SCDPT5!SCDPT5_532ENDINGG_20)</f>
        <v>0</v>
      </c>
      <c r="W103" s="3">
        <f>SUM(GMIC_22A_SCDPT5!SCDPT5_532BEGINNG_21:GMIC_22A_SCDPT5!SCDPT5_532ENDINGG_21)</f>
        <v>0</v>
      </c>
      <c r="X103" s="2"/>
      <c r="Y103" s="2"/>
      <c r="Z103" s="2"/>
      <c r="AA103" s="2"/>
      <c r="AB103" s="2"/>
      <c r="AC103" s="2"/>
    </row>
    <row r="104" spans="2:29" x14ac:dyDescent="0.3">
      <c r="B104" s="7" t="s">
        <v>2744</v>
      </c>
      <c r="C104" s="1" t="s">
        <v>2744</v>
      </c>
      <c r="D104" s="8" t="s">
        <v>2744</v>
      </c>
      <c r="E104" s="1" t="s">
        <v>2744</v>
      </c>
      <c r="F104" s="1" t="s">
        <v>2744</v>
      </c>
      <c r="G104" s="1" t="s">
        <v>2744</v>
      </c>
      <c r="H104" s="1" t="s">
        <v>2744</v>
      </c>
      <c r="I104" s="1" t="s">
        <v>2744</v>
      </c>
      <c r="J104" s="1" t="s">
        <v>2744</v>
      </c>
      <c r="K104" s="1" t="s">
        <v>2744</v>
      </c>
      <c r="L104" s="1" t="s">
        <v>2744</v>
      </c>
      <c r="M104" s="1" t="s">
        <v>2744</v>
      </c>
      <c r="N104" s="1" t="s">
        <v>2744</v>
      </c>
      <c r="O104" s="1" t="s">
        <v>2744</v>
      </c>
      <c r="P104" s="1" t="s">
        <v>2744</v>
      </c>
      <c r="Q104" s="1" t="s">
        <v>2744</v>
      </c>
      <c r="R104" s="1" t="s">
        <v>2744</v>
      </c>
      <c r="S104" s="1" t="s">
        <v>2744</v>
      </c>
      <c r="T104" s="1" t="s">
        <v>2744</v>
      </c>
      <c r="U104" s="1" t="s">
        <v>2744</v>
      </c>
      <c r="V104" s="1" t="s">
        <v>2744</v>
      </c>
      <c r="W104" s="1" t="s">
        <v>2744</v>
      </c>
      <c r="X104" s="1" t="s">
        <v>2744</v>
      </c>
      <c r="Y104" s="1" t="s">
        <v>2744</v>
      </c>
      <c r="Z104" s="1" t="s">
        <v>2744</v>
      </c>
      <c r="AA104" s="1" t="s">
        <v>2744</v>
      </c>
      <c r="AB104" s="1" t="s">
        <v>2744</v>
      </c>
      <c r="AC104" s="1" t="s">
        <v>2744</v>
      </c>
    </row>
    <row r="105" spans="2:29" x14ac:dyDescent="0.3">
      <c r="B105" s="18" t="s">
        <v>703</v>
      </c>
      <c r="C105" s="25" t="s">
        <v>3897</v>
      </c>
      <c r="D105" s="15" t="s">
        <v>2</v>
      </c>
      <c r="E105" s="20" t="s">
        <v>2</v>
      </c>
      <c r="F105" s="6"/>
      <c r="G105" s="5" t="s">
        <v>2</v>
      </c>
      <c r="H105" s="6"/>
      <c r="I105" s="5" t="s">
        <v>2</v>
      </c>
      <c r="J105" s="28"/>
      <c r="K105" s="4"/>
      <c r="L105" s="4"/>
      <c r="M105" s="4"/>
      <c r="N105" s="4"/>
      <c r="O105" s="4"/>
      <c r="P105" s="4"/>
      <c r="Q105" s="24"/>
      <c r="R105" s="4"/>
      <c r="S105" s="4"/>
      <c r="T105" s="4"/>
      <c r="U105" s="24"/>
      <c r="V105" s="4"/>
      <c r="W105" s="4"/>
      <c r="X105" s="2"/>
      <c r="Y105" s="5" t="s">
        <v>2</v>
      </c>
      <c r="Z105" s="5" t="s">
        <v>2</v>
      </c>
      <c r="AA105" s="5" t="s">
        <v>2</v>
      </c>
      <c r="AB105" s="21" t="s">
        <v>2</v>
      </c>
      <c r="AC105" s="26" t="s">
        <v>2</v>
      </c>
    </row>
    <row r="106" spans="2:29" x14ac:dyDescent="0.3">
      <c r="B106" s="7" t="s">
        <v>2744</v>
      </c>
      <c r="C106" s="1" t="s">
        <v>2744</v>
      </c>
      <c r="D106" s="8" t="s">
        <v>2744</v>
      </c>
      <c r="E106" s="1" t="s">
        <v>2744</v>
      </c>
      <c r="F106" s="1" t="s">
        <v>2744</v>
      </c>
      <c r="G106" s="1" t="s">
        <v>2744</v>
      </c>
      <c r="H106" s="1" t="s">
        <v>2744</v>
      </c>
      <c r="I106" s="1" t="s">
        <v>2744</v>
      </c>
      <c r="J106" s="1" t="s">
        <v>2744</v>
      </c>
      <c r="K106" s="1" t="s">
        <v>2744</v>
      </c>
      <c r="L106" s="1" t="s">
        <v>2744</v>
      </c>
      <c r="M106" s="1" t="s">
        <v>2744</v>
      </c>
      <c r="N106" s="1" t="s">
        <v>2744</v>
      </c>
      <c r="O106" s="1" t="s">
        <v>2744</v>
      </c>
      <c r="P106" s="1" t="s">
        <v>2744</v>
      </c>
      <c r="Q106" s="1" t="s">
        <v>2744</v>
      </c>
      <c r="R106" s="1" t="s">
        <v>2744</v>
      </c>
      <c r="S106" s="1" t="s">
        <v>2744</v>
      </c>
      <c r="T106" s="1" t="s">
        <v>2744</v>
      </c>
      <c r="U106" s="1" t="s">
        <v>2744</v>
      </c>
      <c r="V106" s="1" t="s">
        <v>2744</v>
      </c>
      <c r="W106" s="1" t="s">
        <v>2744</v>
      </c>
      <c r="X106" s="1" t="s">
        <v>2744</v>
      </c>
      <c r="Y106" s="1" t="s">
        <v>2744</v>
      </c>
      <c r="Z106" s="1" t="s">
        <v>2744</v>
      </c>
      <c r="AA106" s="1" t="s">
        <v>2744</v>
      </c>
      <c r="AB106" s="1" t="s">
        <v>2744</v>
      </c>
      <c r="AC106" s="1" t="s">
        <v>2744</v>
      </c>
    </row>
    <row r="107" spans="2:29" ht="56" x14ac:dyDescent="0.3">
      <c r="B107" s="19" t="s">
        <v>1841</v>
      </c>
      <c r="C107" s="17" t="s">
        <v>704</v>
      </c>
      <c r="D107" s="16"/>
      <c r="E107" s="2"/>
      <c r="F107" s="2"/>
      <c r="G107" s="2"/>
      <c r="H107" s="2"/>
      <c r="I107" s="2"/>
      <c r="J107" s="2"/>
      <c r="K107" s="3">
        <f>SUM(GMIC_22A_SCDPT5!SCDPT5_551BEGINNG_9:GMIC_22A_SCDPT5!SCDPT5_551ENDINGG_9)</f>
        <v>0</v>
      </c>
      <c r="L107" s="3">
        <f>SUM(GMIC_22A_SCDPT5!SCDPT5_551BEGINNG_10:GMIC_22A_SCDPT5!SCDPT5_551ENDINGG_10)</f>
        <v>0</v>
      </c>
      <c r="M107" s="3">
        <f>SUM(GMIC_22A_SCDPT5!SCDPT5_551BEGINNG_11:GMIC_22A_SCDPT5!SCDPT5_551ENDINGG_11)</f>
        <v>0</v>
      </c>
      <c r="N107" s="3">
        <f>SUM(GMIC_22A_SCDPT5!SCDPT5_551BEGINNG_12:GMIC_22A_SCDPT5!SCDPT5_551ENDINGG_12)</f>
        <v>0</v>
      </c>
      <c r="O107" s="3">
        <f>SUM(GMIC_22A_SCDPT5!SCDPT5_551BEGINNG_13:GMIC_22A_SCDPT5!SCDPT5_551ENDINGG_13)</f>
        <v>0</v>
      </c>
      <c r="P107" s="3">
        <f>SUM(GMIC_22A_SCDPT5!SCDPT5_551BEGINNG_14:GMIC_22A_SCDPT5!SCDPT5_551ENDINGG_14)</f>
        <v>0</v>
      </c>
      <c r="Q107" s="3">
        <f>SUM(GMIC_22A_SCDPT5!SCDPT5_551BEGINNG_15:GMIC_22A_SCDPT5!SCDPT5_551ENDINGG_15)</f>
        <v>0</v>
      </c>
      <c r="R107" s="3">
        <f>SUM(GMIC_22A_SCDPT5!SCDPT5_551BEGINNG_16:GMIC_22A_SCDPT5!SCDPT5_551ENDINGG_16)</f>
        <v>0</v>
      </c>
      <c r="S107" s="3">
        <f>SUM(GMIC_22A_SCDPT5!SCDPT5_551BEGINNG_17:GMIC_22A_SCDPT5!SCDPT5_551ENDINGG_17)</f>
        <v>0</v>
      </c>
      <c r="T107" s="3">
        <f>SUM(GMIC_22A_SCDPT5!SCDPT5_551BEGINNG_18:GMIC_22A_SCDPT5!SCDPT5_551ENDINGG_18)</f>
        <v>0</v>
      </c>
      <c r="U107" s="3">
        <f>SUM(GMIC_22A_SCDPT5!SCDPT5_551BEGINNG_19:GMIC_22A_SCDPT5!SCDPT5_551ENDINGG_19)</f>
        <v>0</v>
      </c>
      <c r="V107" s="3">
        <f>SUM(GMIC_22A_SCDPT5!SCDPT5_551BEGINNG_20:GMIC_22A_SCDPT5!SCDPT5_551ENDINGG_20)</f>
        <v>0</v>
      </c>
      <c r="W107" s="3">
        <f>SUM(GMIC_22A_SCDPT5!SCDPT5_551BEGINNG_21:GMIC_22A_SCDPT5!SCDPT5_551ENDINGG_21)</f>
        <v>0</v>
      </c>
      <c r="X107" s="2"/>
      <c r="Y107" s="2"/>
      <c r="Z107" s="2"/>
      <c r="AA107" s="2"/>
      <c r="AB107" s="2"/>
      <c r="AC107" s="2"/>
    </row>
    <row r="108" spans="2:29" x14ac:dyDescent="0.3">
      <c r="B108" s="7" t="s">
        <v>2744</v>
      </c>
      <c r="C108" s="1" t="s">
        <v>2744</v>
      </c>
      <c r="D108" s="8" t="s">
        <v>2744</v>
      </c>
      <c r="E108" s="1" t="s">
        <v>2744</v>
      </c>
      <c r="F108" s="1" t="s">
        <v>2744</v>
      </c>
      <c r="G108" s="1" t="s">
        <v>2744</v>
      </c>
      <c r="H108" s="1" t="s">
        <v>2744</v>
      </c>
      <c r="I108" s="1" t="s">
        <v>2744</v>
      </c>
      <c r="J108" s="1" t="s">
        <v>2744</v>
      </c>
      <c r="K108" s="1" t="s">
        <v>2744</v>
      </c>
      <c r="L108" s="1" t="s">
        <v>2744</v>
      </c>
      <c r="M108" s="1" t="s">
        <v>2744</v>
      </c>
      <c r="N108" s="1" t="s">
        <v>2744</v>
      </c>
      <c r="O108" s="1" t="s">
        <v>2744</v>
      </c>
      <c r="P108" s="1" t="s">
        <v>2744</v>
      </c>
      <c r="Q108" s="1" t="s">
        <v>2744</v>
      </c>
      <c r="R108" s="1" t="s">
        <v>2744</v>
      </c>
      <c r="S108" s="1" t="s">
        <v>2744</v>
      </c>
      <c r="T108" s="1" t="s">
        <v>2744</v>
      </c>
      <c r="U108" s="1" t="s">
        <v>2744</v>
      </c>
      <c r="V108" s="1" t="s">
        <v>2744</v>
      </c>
      <c r="W108" s="1" t="s">
        <v>2744</v>
      </c>
      <c r="X108" s="1" t="s">
        <v>2744</v>
      </c>
      <c r="Y108" s="1" t="s">
        <v>2744</v>
      </c>
      <c r="Z108" s="1" t="s">
        <v>2744</v>
      </c>
      <c r="AA108" s="1" t="s">
        <v>2744</v>
      </c>
      <c r="AB108" s="1" t="s">
        <v>2744</v>
      </c>
      <c r="AC108" s="1" t="s">
        <v>2744</v>
      </c>
    </row>
    <row r="109" spans="2:29" x14ac:dyDescent="0.3">
      <c r="B109" s="18" t="s">
        <v>4452</v>
      </c>
      <c r="C109" s="25" t="s">
        <v>3897</v>
      </c>
      <c r="D109" s="15" t="s">
        <v>2</v>
      </c>
      <c r="E109" s="20" t="s">
        <v>2</v>
      </c>
      <c r="F109" s="6"/>
      <c r="G109" s="5" t="s">
        <v>2</v>
      </c>
      <c r="H109" s="6"/>
      <c r="I109" s="5" t="s">
        <v>2</v>
      </c>
      <c r="J109" s="28"/>
      <c r="K109" s="4"/>
      <c r="L109" s="4"/>
      <c r="M109" s="4"/>
      <c r="N109" s="4"/>
      <c r="O109" s="4"/>
      <c r="P109" s="4"/>
      <c r="Q109" s="24"/>
      <c r="R109" s="4"/>
      <c r="S109" s="4"/>
      <c r="T109" s="4"/>
      <c r="U109" s="24"/>
      <c r="V109" s="4"/>
      <c r="W109" s="4"/>
      <c r="X109" s="2"/>
      <c r="Y109" s="5" t="s">
        <v>2</v>
      </c>
      <c r="Z109" s="5" t="s">
        <v>2</v>
      </c>
      <c r="AA109" s="5" t="s">
        <v>2</v>
      </c>
      <c r="AB109" s="21" t="s">
        <v>2</v>
      </c>
      <c r="AC109" s="26" t="s">
        <v>2</v>
      </c>
    </row>
    <row r="110" spans="2:29" x14ac:dyDescent="0.3">
      <c r="B110" s="7" t="s">
        <v>2744</v>
      </c>
      <c r="C110" s="1" t="s">
        <v>2744</v>
      </c>
      <c r="D110" s="8" t="s">
        <v>2744</v>
      </c>
      <c r="E110" s="1" t="s">
        <v>2744</v>
      </c>
      <c r="F110" s="1" t="s">
        <v>2744</v>
      </c>
      <c r="G110" s="1" t="s">
        <v>2744</v>
      </c>
      <c r="H110" s="1" t="s">
        <v>2744</v>
      </c>
      <c r="I110" s="1" t="s">
        <v>2744</v>
      </c>
      <c r="J110" s="1" t="s">
        <v>2744</v>
      </c>
      <c r="K110" s="1" t="s">
        <v>2744</v>
      </c>
      <c r="L110" s="1" t="s">
        <v>2744</v>
      </c>
      <c r="M110" s="1" t="s">
        <v>2744</v>
      </c>
      <c r="N110" s="1" t="s">
        <v>2744</v>
      </c>
      <c r="O110" s="1" t="s">
        <v>2744</v>
      </c>
      <c r="P110" s="1" t="s">
        <v>2744</v>
      </c>
      <c r="Q110" s="1" t="s">
        <v>2744</v>
      </c>
      <c r="R110" s="1" t="s">
        <v>2744</v>
      </c>
      <c r="S110" s="1" t="s">
        <v>2744</v>
      </c>
      <c r="T110" s="1" t="s">
        <v>2744</v>
      </c>
      <c r="U110" s="1" t="s">
        <v>2744</v>
      </c>
      <c r="V110" s="1" t="s">
        <v>2744</v>
      </c>
      <c r="W110" s="1" t="s">
        <v>2744</v>
      </c>
      <c r="X110" s="1" t="s">
        <v>2744</v>
      </c>
      <c r="Y110" s="1" t="s">
        <v>2744</v>
      </c>
      <c r="Z110" s="1" t="s">
        <v>2744</v>
      </c>
      <c r="AA110" s="1" t="s">
        <v>2744</v>
      </c>
      <c r="AB110" s="1" t="s">
        <v>2744</v>
      </c>
      <c r="AC110" s="1" t="s">
        <v>2744</v>
      </c>
    </row>
    <row r="111" spans="2:29" ht="56" x14ac:dyDescent="0.3">
      <c r="B111" s="19" t="s">
        <v>1053</v>
      </c>
      <c r="C111" s="17" t="s">
        <v>1054</v>
      </c>
      <c r="D111" s="16"/>
      <c r="E111" s="2"/>
      <c r="F111" s="2"/>
      <c r="G111" s="2"/>
      <c r="H111" s="2"/>
      <c r="I111" s="2"/>
      <c r="J111" s="2"/>
      <c r="K111" s="3">
        <f>SUM(GMIC_22A_SCDPT5!SCDPT5_552BEGINNG_9:GMIC_22A_SCDPT5!SCDPT5_552ENDINGG_9)</f>
        <v>0</v>
      </c>
      <c r="L111" s="3">
        <f>SUM(GMIC_22A_SCDPT5!SCDPT5_552BEGINNG_10:GMIC_22A_SCDPT5!SCDPT5_552ENDINGG_10)</f>
        <v>0</v>
      </c>
      <c r="M111" s="3">
        <f>SUM(GMIC_22A_SCDPT5!SCDPT5_552BEGINNG_11:GMIC_22A_SCDPT5!SCDPT5_552ENDINGG_11)</f>
        <v>0</v>
      </c>
      <c r="N111" s="3">
        <f>SUM(GMIC_22A_SCDPT5!SCDPT5_552BEGINNG_12:GMIC_22A_SCDPT5!SCDPT5_552ENDINGG_12)</f>
        <v>0</v>
      </c>
      <c r="O111" s="3">
        <f>SUM(GMIC_22A_SCDPT5!SCDPT5_552BEGINNG_13:GMIC_22A_SCDPT5!SCDPT5_552ENDINGG_13)</f>
        <v>0</v>
      </c>
      <c r="P111" s="3">
        <f>SUM(GMIC_22A_SCDPT5!SCDPT5_552BEGINNG_14:GMIC_22A_SCDPT5!SCDPT5_552ENDINGG_14)</f>
        <v>0</v>
      </c>
      <c r="Q111" s="3">
        <f>SUM(GMIC_22A_SCDPT5!SCDPT5_552BEGINNG_15:GMIC_22A_SCDPT5!SCDPT5_552ENDINGG_15)</f>
        <v>0</v>
      </c>
      <c r="R111" s="3">
        <f>SUM(GMIC_22A_SCDPT5!SCDPT5_552BEGINNG_16:GMIC_22A_SCDPT5!SCDPT5_552ENDINGG_16)</f>
        <v>0</v>
      </c>
      <c r="S111" s="3">
        <f>SUM(GMIC_22A_SCDPT5!SCDPT5_552BEGINNG_17:GMIC_22A_SCDPT5!SCDPT5_552ENDINGG_17)</f>
        <v>0</v>
      </c>
      <c r="T111" s="3">
        <f>SUM(GMIC_22A_SCDPT5!SCDPT5_552BEGINNG_18:GMIC_22A_SCDPT5!SCDPT5_552ENDINGG_18)</f>
        <v>0</v>
      </c>
      <c r="U111" s="3">
        <f>SUM(GMIC_22A_SCDPT5!SCDPT5_552BEGINNG_19:GMIC_22A_SCDPT5!SCDPT5_552ENDINGG_19)</f>
        <v>0</v>
      </c>
      <c r="V111" s="3">
        <f>SUM(GMIC_22A_SCDPT5!SCDPT5_552BEGINNG_20:GMIC_22A_SCDPT5!SCDPT5_552ENDINGG_20)</f>
        <v>0</v>
      </c>
      <c r="W111" s="3">
        <f>SUM(GMIC_22A_SCDPT5!SCDPT5_552BEGINNG_21:GMIC_22A_SCDPT5!SCDPT5_552ENDINGG_21)</f>
        <v>0</v>
      </c>
      <c r="X111" s="2"/>
      <c r="Y111" s="2"/>
      <c r="Z111" s="2"/>
      <c r="AA111" s="2"/>
      <c r="AB111" s="2"/>
      <c r="AC111" s="2"/>
    </row>
    <row r="112" spans="2:29" x14ac:dyDescent="0.3">
      <c r="B112" s="7" t="s">
        <v>2744</v>
      </c>
      <c r="C112" s="1" t="s">
        <v>2744</v>
      </c>
      <c r="D112" s="8" t="s">
        <v>2744</v>
      </c>
      <c r="E112" s="1" t="s">
        <v>2744</v>
      </c>
      <c r="F112" s="1" t="s">
        <v>2744</v>
      </c>
      <c r="G112" s="1" t="s">
        <v>2744</v>
      </c>
      <c r="H112" s="1" t="s">
        <v>2744</v>
      </c>
      <c r="I112" s="1" t="s">
        <v>2744</v>
      </c>
      <c r="J112" s="1" t="s">
        <v>2744</v>
      </c>
      <c r="K112" s="1" t="s">
        <v>2744</v>
      </c>
      <c r="L112" s="1" t="s">
        <v>2744</v>
      </c>
      <c r="M112" s="1" t="s">
        <v>2744</v>
      </c>
      <c r="N112" s="1" t="s">
        <v>2744</v>
      </c>
      <c r="O112" s="1" t="s">
        <v>2744</v>
      </c>
      <c r="P112" s="1" t="s">
        <v>2744</v>
      </c>
      <c r="Q112" s="1" t="s">
        <v>2744</v>
      </c>
      <c r="R112" s="1" t="s">
        <v>2744</v>
      </c>
      <c r="S112" s="1" t="s">
        <v>2744</v>
      </c>
      <c r="T112" s="1" t="s">
        <v>2744</v>
      </c>
      <c r="U112" s="1" t="s">
        <v>2744</v>
      </c>
      <c r="V112" s="1" t="s">
        <v>2744</v>
      </c>
      <c r="W112" s="1" t="s">
        <v>2744</v>
      </c>
      <c r="X112" s="1" t="s">
        <v>2744</v>
      </c>
      <c r="Y112" s="1" t="s">
        <v>2744</v>
      </c>
      <c r="Z112" s="1" t="s">
        <v>2744</v>
      </c>
      <c r="AA112" s="1" t="s">
        <v>2744</v>
      </c>
      <c r="AB112" s="1" t="s">
        <v>2744</v>
      </c>
      <c r="AC112" s="1" t="s">
        <v>2744</v>
      </c>
    </row>
    <row r="113" spans="2:29" x14ac:dyDescent="0.3">
      <c r="B113" s="18" t="s">
        <v>1346</v>
      </c>
      <c r="C113" s="25" t="s">
        <v>3897</v>
      </c>
      <c r="D113" s="15" t="s">
        <v>2</v>
      </c>
      <c r="E113" s="20" t="s">
        <v>2</v>
      </c>
      <c r="F113" s="6"/>
      <c r="G113" s="5" t="s">
        <v>2</v>
      </c>
      <c r="H113" s="6"/>
      <c r="I113" s="5" t="s">
        <v>2</v>
      </c>
      <c r="J113" s="28"/>
      <c r="K113" s="4"/>
      <c r="L113" s="4"/>
      <c r="M113" s="4"/>
      <c r="N113" s="4"/>
      <c r="O113" s="4"/>
      <c r="P113" s="4"/>
      <c r="Q113" s="24"/>
      <c r="R113" s="4"/>
      <c r="S113" s="4"/>
      <c r="T113" s="4"/>
      <c r="U113" s="24"/>
      <c r="V113" s="4"/>
      <c r="W113" s="4"/>
      <c r="X113" s="2"/>
      <c r="Y113" s="5" t="s">
        <v>2</v>
      </c>
      <c r="Z113" s="5" t="s">
        <v>2</v>
      </c>
      <c r="AA113" s="5" t="s">
        <v>2</v>
      </c>
      <c r="AB113" s="21" t="s">
        <v>2</v>
      </c>
      <c r="AC113" s="26" t="s">
        <v>2</v>
      </c>
    </row>
    <row r="114" spans="2:29" x14ac:dyDescent="0.3">
      <c r="B114" s="7" t="s">
        <v>2744</v>
      </c>
      <c r="C114" s="1" t="s">
        <v>2744</v>
      </c>
      <c r="D114" s="8" t="s">
        <v>2744</v>
      </c>
      <c r="E114" s="1" t="s">
        <v>2744</v>
      </c>
      <c r="F114" s="1" t="s">
        <v>2744</v>
      </c>
      <c r="G114" s="1" t="s">
        <v>2744</v>
      </c>
      <c r="H114" s="1" t="s">
        <v>2744</v>
      </c>
      <c r="I114" s="1" t="s">
        <v>2744</v>
      </c>
      <c r="J114" s="1" t="s">
        <v>2744</v>
      </c>
      <c r="K114" s="1" t="s">
        <v>2744</v>
      </c>
      <c r="L114" s="1" t="s">
        <v>2744</v>
      </c>
      <c r="M114" s="1" t="s">
        <v>2744</v>
      </c>
      <c r="N114" s="1" t="s">
        <v>2744</v>
      </c>
      <c r="O114" s="1" t="s">
        <v>2744</v>
      </c>
      <c r="P114" s="1" t="s">
        <v>2744</v>
      </c>
      <c r="Q114" s="1" t="s">
        <v>2744</v>
      </c>
      <c r="R114" s="1" t="s">
        <v>2744</v>
      </c>
      <c r="S114" s="1" t="s">
        <v>2744</v>
      </c>
      <c r="T114" s="1" t="s">
        <v>2744</v>
      </c>
      <c r="U114" s="1" t="s">
        <v>2744</v>
      </c>
      <c r="V114" s="1" t="s">
        <v>2744</v>
      </c>
      <c r="W114" s="1" t="s">
        <v>2744</v>
      </c>
      <c r="X114" s="1" t="s">
        <v>2744</v>
      </c>
      <c r="Y114" s="1" t="s">
        <v>2744</v>
      </c>
      <c r="Z114" s="1" t="s">
        <v>2744</v>
      </c>
      <c r="AA114" s="1" t="s">
        <v>2744</v>
      </c>
      <c r="AB114" s="1" t="s">
        <v>2744</v>
      </c>
      <c r="AC114" s="1" t="s">
        <v>2744</v>
      </c>
    </row>
    <row r="115" spans="2:29" ht="56" x14ac:dyDescent="0.3">
      <c r="B115" s="19" t="s">
        <v>2474</v>
      </c>
      <c r="C115" s="17" t="s">
        <v>2690</v>
      </c>
      <c r="D115" s="16"/>
      <c r="E115" s="2"/>
      <c r="F115" s="2"/>
      <c r="G115" s="2"/>
      <c r="H115" s="2"/>
      <c r="I115" s="2"/>
      <c r="J115" s="2"/>
      <c r="K115" s="3">
        <f>SUM(GMIC_22A_SCDPT5!SCDPT5_571BEGINNG_9:GMIC_22A_SCDPT5!SCDPT5_571ENDINGG_9)</f>
        <v>0</v>
      </c>
      <c r="L115" s="3">
        <f>SUM(GMIC_22A_SCDPT5!SCDPT5_571BEGINNG_10:GMIC_22A_SCDPT5!SCDPT5_571ENDINGG_10)</f>
        <v>0</v>
      </c>
      <c r="M115" s="3">
        <f>SUM(GMIC_22A_SCDPT5!SCDPT5_571BEGINNG_11:GMIC_22A_SCDPT5!SCDPT5_571ENDINGG_11)</f>
        <v>0</v>
      </c>
      <c r="N115" s="3">
        <f>SUM(GMIC_22A_SCDPT5!SCDPT5_571BEGINNG_12:GMIC_22A_SCDPT5!SCDPT5_571ENDINGG_12)</f>
        <v>0</v>
      </c>
      <c r="O115" s="3">
        <f>SUM(GMIC_22A_SCDPT5!SCDPT5_571BEGINNG_13:GMIC_22A_SCDPT5!SCDPT5_571ENDINGG_13)</f>
        <v>0</v>
      </c>
      <c r="P115" s="3">
        <f>SUM(GMIC_22A_SCDPT5!SCDPT5_571BEGINNG_14:GMIC_22A_SCDPT5!SCDPT5_571ENDINGG_14)</f>
        <v>0</v>
      </c>
      <c r="Q115" s="3">
        <f>SUM(GMIC_22A_SCDPT5!SCDPT5_571BEGINNG_15:GMIC_22A_SCDPT5!SCDPT5_571ENDINGG_15)</f>
        <v>0</v>
      </c>
      <c r="R115" s="3">
        <f>SUM(GMIC_22A_SCDPT5!SCDPT5_571BEGINNG_16:GMIC_22A_SCDPT5!SCDPT5_571ENDINGG_16)</f>
        <v>0</v>
      </c>
      <c r="S115" s="3">
        <f>SUM(GMIC_22A_SCDPT5!SCDPT5_571BEGINNG_17:GMIC_22A_SCDPT5!SCDPT5_571ENDINGG_17)</f>
        <v>0</v>
      </c>
      <c r="T115" s="3">
        <f>SUM(GMIC_22A_SCDPT5!SCDPT5_571BEGINNG_18:GMIC_22A_SCDPT5!SCDPT5_571ENDINGG_18)</f>
        <v>0</v>
      </c>
      <c r="U115" s="3">
        <f>SUM(GMIC_22A_SCDPT5!SCDPT5_571BEGINNG_19:GMIC_22A_SCDPT5!SCDPT5_571ENDINGG_19)</f>
        <v>0</v>
      </c>
      <c r="V115" s="3">
        <f>SUM(GMIC_22A_SCDPT5!SCDPT5_571BEGINNG_20:GMIC_22A_SCDPT5!SCDPT5_571ENDINGG_20)</f>
        <v>0</v>
      </c>
      <c r="W115" s="3">
        <f>SUM(GMIC_22A_SCDPT5!SCDPT5_571BEGINNG_21:GMIC_22A_SCDPT5!SCDPT5_571ENDINGG_21)</f>
        <v>0</v>
      </c>
      <c r="X115" s="2"/>
      <c r="Y115" s="2"/>
      <c r="Z115" s="2"/>
      <c r="AA115" s="2"/>
      <c r="AB115" s="2"/>
      <c r="AC115" s="2"/>
    </row>
    <row r="116" spans="2:29" x14ac:dyDescent="0.3">
      <c r="B116" s="7" t="s">
        <v>2744</v>
      </c>
      <c r="C116" s="1" t="s">
        <v>2744</v>
      </c>
      <c r="D116" s="8" t="s">
        <v>2744</v>
      </c>
      <c r="E116" s="1" t="s">
        <v>2744</v>
      </c>
      <c r="F116" s="1" t="s">
        <v>2744</v>
      </c>
      <c r="G116" s="1" t="s">
        <v>2744</v>
      </c>
      <c r="H116" s="1" t="s">
        <v>2744</v>
      </c>
      <c r="I116" s="1" t="s">
        <v>2744</v>
      </c>
      <c r="J116" s="1" t="s">
        <v>2744</v>
      </c>
      <c r="K116" s="1" t="s">
        <v>2744</v>
      </c>
      <c r="L116" s="1" t="s">
        <v>2744</v>
      </c>
      <c r="M116" s="1" t="s">
        <v>2744</v>
      </c>
      <c r="N116" s="1" t="s">
        <v>2744</v>
      </c>
      <c r="O116" s="1" t="s">
        <v>2744</v>
      </c>
      <c r="P116" s="1" t="s">
        <v>2744</v>
      </c>
      <c r="Q116" s="1" t="s">
        <v>2744</v>
      </c>
      <c r="R116" s="1" t="s">
        <v>2744</v>
      </c>
      <c r="S116" s="1" t="s">
        <v>2744</v>
      </c>
      <c r="T116" s="1" t="s">
        <v>2744</v>
      </c>
      <c r="U116" s="1" t="s">
        <v>2744</v>
      </c>
      <c r="V116" s="1" t="s">
        <v>2744</v>
      </c>
      <c r="W116" s="1" t="s">
        <v>2744</v>
      </c>
      <c r="X116" s="1" t="s">
        <v>2744</v>
      </c>
      <c r="Y116" s="1" t="s">
        <v>2744</v>
      </c>
      <c r="Z116" s="1" t="s">
        <v>2744</v>
      </c>
      <c r="AA116" s="1" t="s">
        <v>2744</v>
      </c>
      <c r="AB116" s="1" t="s">
        <v>2744</v>
      </c>
      <c r="AC116" s="1" t="s">
        <v>2744</v>
      </c>
    </row>
    <row r="117" spans="2:29" x14ac:dyDescent="0.3">
      <c r="B117" s="18" t="s">
        <v>455</v>
      </c>
      <c r="C117" s="25" t="s">
        <v>3897</v>
      </c>
      <c r="D117" s="15" t="s">
        <v>2</v>
      </c>
      <c r="E117" s="20" t="s">
        <v>2</v>
      </c>
      <c r="F117" s="6"/>
      <c r="G117" s="5" t="s">
        <v>2</v>
      </c>
      <c r="H117" s="6"/>
      <c r="I117" s="5" t="s">
        <v>2</v>
      </c>
      <c r="J117" s="28"/>
      <c r="K117" s="4"/>
      <c r="L117" s="4"/>
      <c r="M117" s="4"/>
      <c r="N117" s="4"/>
      <c r="O117" s="4"/>
      <c r="P117" s="4"/>
      <c r="Q117" s="24"/>
      <c r="R117" s="4"/>
      <c r="S117" s="4"/>
      <c r="T117" s="4"/>
      <c r="U117" s="24"/>
      <c r="V117" s="4"/>
      <c r="W117" s="4"/>
      <c r="X117" s="2"/>
      <c r="Y117" s="5" t="s">
        <v>2</v>
      </c>
      <c r="Z117" s="5" t="s">
        <v>2</v>
      </c>
      <c r="AA117" s="5" t="s">
        <v>2</v>
      </c>
      <c r="AB117" s="21" t="s">
        <v>2</v>
      </c>
      <c r="AC117" s="26" t="s">
        <v>2</v>
      </c>
    </row>
    <row r="118" spans="2:29" x14ac:dyDescent="0.3">
      <c r="B118" s="7" t="s">
        <v>2744</v>
      </c>
      <c r="C118" s="1" t="s">
        <v>2744</v>
      </c>
      <c r="D118" s="8" t="s">
        <v>2744</v>
      </c>
      <c r="E118" s="1" t="s">
        <v>2744</v>
      </c>
      <c r="F118" s="1" t="s">
        <v>2744</v>
      </c>
      <c r="G118" s="1" t="s">
        <v>2744</v>
      </c>
      <c r="H118" s="1" t="s">
        <v>2744</v>
      </c>
      <c r="I118" s="1" t="s">
        <v>2744</v>
      </c>
      <c r="J118" s="1" t="s">
        <v>2744</v>
      </c>
      <c r="K118" s="1" t="s">
        <v>2744</v>
      </c>
      <c r="L118" s="1" t="s">
        <v>2744</v>
      </c>
      <c r="M118" s="1" t="s">
        <v>2744</v>
      </c>
      <c r="N118" s="1" t="s">
        <v>2744</v>
      </c>
      <c r="O118" s="1" t="s">
        <v>2744</v>
      </c>
      <c r="P118" s="1" t="s">
        <v>2744</v>
      </c>
      <c r="Q118" s="1" t="s">
        <v>2744</v>
      </c>
      <c r="R118" s="1" t="s">
        <v>2744</v>
      </c>
      <c r="S118" s="1" t="s">
        <v>2744</v>
      </c>
      <c r="T118" s="1" t="s">
        <v>2744</v>
      </c>
      <c r="U118" s="1" t="s">
        <v>2744</v>
      </c>
      <c r="V118" s="1" t="s">
        <v>2744</v>
      </c>
      <c r="W118" s="1" t="s">
        <v>2744</v>
      </c>
      <c r="X118" s="1" t="s">
        <v>2744</v>
      </c>
      <c r="Y118" s="1" t="s">
        <v>2744</v>
      </c>
      <c r="Z118" s="1" t="s">
        <v>2744</v>
      </c>
      <c r="AA118" s="1" t="s">
        <v>2744</v>
      </c>
      <c r="AB118" s="1" t="s">
        <v>2744</v>
      </c>
      <c r="AC118" s="1" t="s">
        <v>2744</v>
      </c>
    </row>
    <row r="119" spans="2:29" ht="56" x14ac:dyDescent="0.3">
      <c r="B119" s="19" t="s">
        <v>1575</v>
      </c>
      <c r="C119" s="17" t="s">
        <v>3600</v>
      </c>
      <c r="D119" s="16"/>
      <c r="E119" s="2"/>
      <c r="F119" s="2"/>
      <c r="G119" s="2"/>
      <c r="H119" s="2"/>
      <c r="I119" s="2"/>
      <c r="J119" s="2"/>
      <c r="K119" s="3">
        <f>SUM(GMIC_22A_SCDPT5!SCDPT5_572BEGINNG_9:GMIC_22A_SCDPT5!SCDPT5_572ENDINGG_9)</f>
        <v>0</v>
      </c>
      <c r="L119" s="3">
        <f>SUM(GMIC_22A_SCDPT5!SCDPT5_572BEGINNG_10:GMIC_22A_SCDPT5!SCDPT5_572ENDINGG_10)</f>
        <v>0</v>
      </c>
      <c r="M119" s="3">
        <f>SUM(GMIC_22A_SCDPT5!SCDPT5_572BEGINNG_11:GMIC_22A_SCDPT5!SCDPT5_572ENDINGG_11)</f>
        <v>0</v>
      </c>
      <c r="N119" s="3">
        <f>SUM(GMIC_22A_SCDPT5!SCDPT5_572BEGINNG_12:GMIC_22A_SCDPT5!SCDPT5_572ENDINGG_12)</f>
        <v>0</v>
      </c>
      <c r="O119" s="3">
        <f>SUM(GMIC_22A_SCDPT5!SCDPT5_572BEGINNG_13:GMIC_22A_SCDPT5!SCDPT5_572ENDINGG_13)</f>
        <v>0</v>
      </c>
      <c r="P119" s="3">
        <f>SUM(GMIC_22A_SCDPT5!SCDPT5_572BEGINNG_14:GMIC_22A_SCDPT5!SCDPT5_572ENDINGG_14)</f>
        <v>0</v>
      </c>
      <c r="Q119" s="3">
        <f>SUM(GMIC_22A_SCDPT5!SCDPT5_572BEGINNG_15:GMIC_22A_SCDPT5!SCDPT5_572ENDINGG_15)</f>
        <v>0</v>
      </c>
      <c r="R119" s="3">
        <f>SUM(GMIC_22A_SCDPT5!SCDPT5_572BEGINNG_16:GMIC_22A_SCDPT5!SCDPT5_572ENDINGG_16)</f>
        <v>0</v>
      </c>
      <c r="S119" s="3">
        <f>SUM(GMIC_22A_SCDPT5!SCDPT5_572BEGINNG_17:GMIC_22A_SCDPT5!SCDPT5_572ENDINGG_17)</f>
        <v>0</v>
      </c>
      <c r="T119" s="3">
        <f>SUM(GMIC_22A_SCDPT5!SCDPT5_572BEGINNG_18:GMIC_22A_SCDPT5!SCDPT5_572ENDINGG_18)</f>
        <v>0</v>
      </c>
      <c r="U119" s="3">
        <f>SUM(GMIC_22A_SCDPT5!SCDPT5_572BEGINNG_19:GMIC_22A_SCDPT5!SCDPT5_572ENDINGG_19)</f>
        <v>0</v>
      </c>
      <c r="V119" s="3">
        <f>SUM(GMIC_22A_SCDPT5!SCDPT5_572BEGINNG_20:GMIC_22A_SCDPT5!SCDPT5_572ENDINGG_20)</f>
        <v>0</v>
      </c>
      <c r="W119" s="3">
        <f>SUM(GMIC_22A_SCDPT5!SCDPT5_572BEGINNG_21:GMIC_22A_SCDPT5!SCDPT5_572ENDINGG_21)</f>
        <v>0</v>
      </c>
      <c r="X119" s="2"/>
      <c r="Y119" s="2"/>
      <c r="Z119" s="2"/>
      <c r="AA119" s="2"/>
      <c r="AB119" s="2"/>
      <c r="AC119" s="2"/>
    </row>
    <row r="120" spans="2:29" x14ac:dyDescent="0.3">
      <c r="B120" s="7" t="s">
        <v>2744</v>
      </c>
      <c r="C120" s="1" t="s">
        <v>2744</v>
      </c>
      <c r="D120" s="8" t="s">
        <v>2744</v>
      </c>
      <c r="E120" s="1" t="s">
        <v>2744</v>
      </c>
      <c r="F120" s="1" t="s">
        <v>2744</v>
      </c>
      <c r="G120" s="1" t="s">
        <v>2744</v>
      </c>
      <c r="H120" s="1" t="s">
        <v>2744</v>
      </c>
      <c r="I120" s="1" t="s">
        <v>2744</v>
      </c>
      <c r="J120" s="1" t="s">
        <v>2744</v>
      </c>
      <c r="K120" s="1" t="s">
        <v>2744</v>
      </c>
      <c r="L120" s="1" t="s">
        <v>2744</v>
      </c>
      <c r="M120" s="1" t="s">
        <v>2744</v>
      </c>
      <c r="N120" s="1" t="s">
        <v>2744</v>
      </c>
      <c r="O120" s="1" t="s">
        <v>2744</v>
      </c>
      <c r="P120" s="1" t="s">
        <v>2744</v>
      </c>
      <c r="Q120" s="1" t="s">
        <v>2744</v>
      </c>
      <c r="R120" s="1" t="s">
        <v>2744</v>
      </c>
      <c r="S120" s="1" t="s">
        <v>2744</v>
      </c>
      <c r="T120" s="1" t="s">
        <v>2744</v>
      </c>
      <c r="U120" s="1" t="s">
        <v>2744</v>
      </c>
      <c r="V120" s="1" t="s">
        <v>2744</v>
      </c>
      <c r="W120" s="1" t="s">
        <v>2744</v>
      </c>
      <c r="X120" s="1" t="s">
        <v>2744</v>
      </c>
      <c r="Y120" s="1" t="s">
        <v>2744</v>
      </c>
      <c r="Z120" s="1" t="s">
        <v>2744</v>
      </c>
      <c r="AA120" s="1" t="s">
        <v>2744</v>
      </c>
      <c r="AB120" s="1" t="s">
        <v>2744</v>
      </c>
      <c r="AC120" s="1" t="s">
        <v>2744</v>
      </c>
    </row>
    <row r="121" spans="2:29" x14ac:dyDescent="0.3">
      <c r="B121" s="18" t="s">
        <v>1577</v>
      </c>
      <c r="C121" s="25" t="s">
        <v>3897</v>
      </c>
      <c r="D121" s="15" t="s">
        <v>2</v>
      </c>
      <c r="E121" s="20" t="s">
        <v>2</v>
      </c>
      <c r="F121" s="6"/>
      <c r="G121" s="5" t="s">
        <v>2</v>
      </c>
      <c r="H121" s="6"/>
      <c r="I121" s="5" t="s">
        <v>2</v>
      </c>
      <c r="J121" s="28"/>
      <c r="K121" s="4"/>
      <c r="L121" s="4"/>
      <c r="M121" s="4"/>
      <c r="N121" s="4"/>
      <c r="O121" s="4"/>
      <c r="P121" s="4"/>
      <c r="Q121" s="24"/>
      <c r="R121" s="4"/>
      <c r="S121" s="4"/>
      <c r="T121" s="4"/>
      <c r="U121" s="24"/>
      <c r="V121" s="4"/>
      <c r="W121" s="4"/>
      <c r="X121" s="2"/>
      <c r="Y121" s="5" t="s">
        <v>2</v>
      </c>
      <c r="Z121" s="5" t="s">
        <v>2</v>
      </c>
      <c r="AA121" s="5" t="s">
        <v>2</v>
      </c>
      <c r="AB121" s="21" t="s">
        <v>2</v>
      </c>
      <c r="AC121" s="26" t="s">
        <v>2</v>
      </c>
    </row>
    <row r="122" spans="2:29" x14ac:dyDescent="0.3">
      <c r="B122" s="7" t="s">
        <v>2744</v>
      </c>
      <c r="C122" s="1" t="s">
        <v>2744</v>
      </c>
      <c r="D122" s="8" t="s">
        <v>2744</v>
      </c>
      <c r="E122" s="1" t="s">
        <v>2744</v>
      </c>
      <c r="F122" s="1" t="s">
        <v>2744</v>
      </c>
      <c r="G122" s="1" t="s">
        <v>2744</v>
      </c>
      <c r="H122" s="1" t="s">
        <v>2744</v>
      </c>
      <c r="I122" s="1" t="s">
        <v>2744</v>
      </c>
      <c r="J122" s="1" t="s">
        <v>2744</v>
      </c>
      <c r="K122" s="1" t="s">
        <v>2744</v>
      </c>
      <c r="L122" s="1" t="s">
        <v>2744</v>
      </c>
      <c r="M122" s="1" t="s">
        <v>2744</v>
      </c>
      <c r="N122" s="1" t="s">
        <v>2744</v>
      </c>
      <c r="O122" s="1" t="s">
        <v>2744</v>
      </c>
      <c r="P122" s="1" t="s">
        <v>2744</v>
      </c>
      <c r="Q122" s="1" t="s">
        <v>2744</v>
      </c>
      <c r="R122" s="1" t="s">
        <v>2744</v>
      </c>
      <c r="S122" s="1" t="s">
        <v>2744</v>
      </c>
      <c r="T122" s="1" t="s">
        <v>2744</v>
      </c>
      <c r="U122" s="1" t="s">
        <v>2744</v>
      </c>
      <c r="V122" s="1" t="s">
        <v>2744</v>
      </c>
      <c r="W122" s="1" t="s">
        <v>2744</v>
      </c>
      <c r="X122" s="1" t="s">
        <v>2744</v>
      </c>
      <c r="Y122" s="1" t="s">
        <v>2744</v>
      </c>
      <c r="Z122" s="1" t="s">
        <v>2744</v>
      </c>
      <c r="AA122" s="1" t="s">
        <v>2744</v>
      </c>
      <c r="AB122" s="1" t="s">
        <v>2744</v>
      </c>
      <c r="AC122" s="1" t="s">
        <v>2744</v>
      </c>
    </row>
    <row r="123" spans="2:29" ht="28" x14ac:dyDescent="0.3">
      <c r="B123" s="19" t="s">
        <v>2691</v>
      </c>
      <c r="C123" s="17" t="s">
        <v>199</v>
      </c>
      <c r="D123" s="16"/>
      <c r="E123" s="2"/>
      <c r="F123" s="2"/>
      <c r="G123" s="2"/>
      <c r="H123" s="2"/>
      <c r="I123" s="2"/>
      <c r="J123" s="2"/>
      <c r="K123" s="3">
        <f>SUM(GMIC_22A_SCDPT5!SCDPT5_581BEGINNG_9:GMIC_22A_SCDPT5!SCDPT5_581ENDINGG_9)</f>
        <v>0</v>
      </c>
      <c r="L123" s="3">
        <f>SUM(GMIC_22A_SCDPT5!SCDPT5_581BEGINNG_10:GMIC_22A_SCDPT5!SCDPT5_581ENDINGG_10)</f>
        <v>0</v>
      </c>
      <c r="M123" s="3">
        <f>SUM(GMIC_22A_SCDPT5!SCDPT5_581BEGINNG_11:GMIC_22A_SCDPT5!SCDPT5_581ENDINGG_11)</f>
        <v>0</v>
      </c>
      <c r="N123" s="3">
        <f>SUM(GMIC_22A_SCDPT5!SCDPT5_581BEGINNG_12:GMIC_22A_SCDPT5!SCDPT5_581ENDINGG_12)</f>
        <v>0</v>
      </c>
      <c r="O123" s="3">
        <f>SUM(GMIC_22A_SCDPT5!SCDPT5_581BEGINNG_13:GMIC_22A_SCDPT5!SCDPT5_581ENDINGG_13)</f>
        <v>0</v>
      </c>
      <c r="P123" s="3">
        <f>SUM(GMIC_22A_SCDPT5!SCDPT5_581BEGINNG_14:GMIC_22A_SCDPT5!SCDPT5_581ENDINGG_14)</f>
        <v>0</v>
      </c>
      <c r="Q123" s="3">
        <f>SUM(GMIC_22A_SCDPT5!SCDPT5_581BEGINNG_15:GMIC_22A_SCDPT5!SCDPT5_581ENDINGG_15)</f>
        <v>0</v>
      </c>
      <c r="R123" s="3">
        <f>SUM(GMIC_22A_SCDPT5!SCDPT5_581BEGINNG_16:GMIC_22A_SCDPT5!SCDPT5_581ENDINGG_16)</f>
        <v>0</v>
      </c>
      <c r="S123" s="3">
        <f>SUM(GMIC_22A_SCDPT5!SCDPT5_581BEGINNG_17:GMIC_22A_SCDPT5!SCDPT5_581ENDINGG_17)</f>
        <v>0</v>
      </c>
      <c r="T123" s="3">
        <f>SUM(GMIC_22A_SCDPT5!SCDPT5_581BEGINNG_18:GMIC_22A_SCDPT5!SCDPT5_581ENDINGG_18)</f>
        <v>0</v>
      </c>
      <c r="U123" s="3">
        <f>SUM(GMIC_22A_SCDPT5!SCDPT5_581BEGINNG_19:GMIC_22A_SCDPT5!SCDPT5_581ENDINGG_19)</f>
        <v>0</v>
      </c>
      <c r="V123" s="3">
        <f>SUM(GMIC_22A_SCDPT5!SCDPT5_581BEGINNG_20:GMIC_22A_SCDPT5!SCDPT5_581ENDINGG_20)</f>
        <v>0</v>
      </c>
      <c r="W123" s="3">
        <f>SUM(GMIC_22A_SCDPT5!SCDPT5_581BEGINNG_21:GMIC_22A_SCDPT5!SCDPT5_581ENDINGG_21)</f>
        <v>0</v>
      </c>
      <c r="X123" s="2"/>
      <c r="Y123" s="2"/>
      <c r="Z123" s="2"/>
      <c r="AA123" s="2"/>
      <c r="AB123" s="2"/>
      <c r="AC123" s="2"/>
    </row>
    <row r="124" spans="2:29" x14ac:dyDescent="0.3">
      <c r="B124" s="7" t="s">
        <v>2744</v>
      </c>
      <c r="C124" s="1" t="s">
        <v>2744</v>
      </c>
      <c r="D124" s="8" t="s">
        <v>2744</v>
      </c>
      <c r="E124" s="1" t="s">
        <v>2744</v>
      </c>
      <c r="F124" s="1" t="s">
        <v>2744</v>
      </c>
      <c r="G124" s="1" t="s">
        <v>2744</v>
      </c>
      <c r="H124" s="1" t="s">
        <v>2744</v>
      </c>
      <c r="I124" s="1" t="s">
        <v>2744</v>
      </c>
      <c r="J124" s="1" t="s">
        <v>2744</v>
      </c>
      <c r="K124" s="1" t="s">
        <v>2744</v>
      </c>
      <c r="L124" s="1" t="s">
        <v>2744</v>
      </c>
      <c r="M124" s="1" t="s">
        <v>2744</v>
      </c>
      <c r="N124" s="1" t="s">
        <v>2744</v>
      </c>
      <c r="O124" s="1" t="s">
        <v>2744</v>
      </c>
      <c r="P124" s="1" t="s">
        <v>2744</v>
      </c>
      <c r="Q124" s="1" t="s">
        <v>2744</v>
      </c>
      <c r="R124" s="1" t="s">
        <v>2744</v>
      </c>
      <c r="S124" s="1" t="s">
        <v>2744</v>
      </c>
      <c r="T124" s="1" t="s">
        <v>2744</v>
      </c>
      <c r="U124" s="1" t="s">
        <v>2744</v>
      </c>
      <c r="V124" s="1" t="s">
        <v>2744</v>
      </c>
      <c r="W124" s="1" t="s">
        <v>2744</v>
      </c>
      <c r="X124" s="1" t="s">
        <v>2744</v>
      </c>
      <c r="Y124" s="1" t="s">
        <v>2744</v>
      </c>
      <c r="Z124" s="1" t="s">
        <v>2744</v>
      </c>
      <c r="AA124" s="1" t="s">
        <v>2744</v>
      </c>
      <c r="AB124" s="1" t="s">
        <v>2744</v>
      </c>
      <c r="AC124" s="1" t="s">
        <v>2744</v>
      </c>
    </row>
    <row r="125" spans="2:29" x14ac:dyDescent="0.3">
      <c r="B125" s="18" t="s">
        <v>1842</v>
      </c>
      <c r="C125" s="25" t="s">
        <v>3897</v>
      </c>
      <c r="D125" s="15" t="s">
        <v>2</v>
      </c>
      <c r="E125" s="20" t="s">
        <v>2</v>
      </c>
      <c r="F125" s="6"/>
      <c r="G125" s="5" t="s">
        <v>2</v>
      </c>
      <c r="H125" s="6"/>
      <c r="I125" s="5" t="s">
        <v>2</v>
      </c>
      <c r="J125" s="28"/>
      <c r="K125" s="4"/>
      <c r="L125" s="4"/>
      <c r="M125" s="4"/>
      <c r="N125" s="4"/>
      <c r="O125" s="4"/>
      <c r="P125" s="4"/>
      <c r="Q125" s="24"/>
      <c r="R125" s="4"/>
      <c r="S125" s="4"/>
      <c r="T125" s="4"/>
      <c r="U125" s="24"/>
      <c r="V125" s="4"/>
      <c r="W125" s="4"/>
      <c r="X125" s="2"/>
      <c r="Y125" s="5" t="s">
        <v>2</v>
      </c>
      <c r="Z125" s="5" t="s">
        <v>2</v>
      </c>
      <c r="AA125" s="5" t="s">
        <v>2</v>
      </c>
      <c r="AB125" s="21" t="s">
        <v>2</v>
      </c>
      <c r="AC125" s="26" t="s">
        <v>2</v>
      </c>
    </row>
    <row r="126" spans="2:29" x14ac:dyDescent="0.3">
      <c r="B126" s="7" t="s">
        <v>2744</v>
      </c>
      <c r="C126" s="1" t="s">
        <v>2744</v>
      </c>
      <c r="D126" s="8" t="s">
        <v>2744</v>
      </c>
      <c r="E126" s="1" t="s">
        <v>2744</v>
      </c>
      <c r="F126" s="1" t="s">
        <v>2744</v>
      </c>
      <c r="G126" s="1" t="s">
        <v>2744</v>
      </c>
      <c r="H126" s="1" t="s">
        <v>2744</v>
      </c>
      <c r="I126" s="1" t="s">
        <v>2744</v>
      </c>
      <c r="J126" s="1" t="s">
        <v>2744</v>
      </c>
      <c r="K126" s="1" t="s">
        <v>2744</v>
      </c>
      <c r="L126" s="1" t="s">
        <v>2744</v>
      </c>
      <c r="M126" s="1" t="s">
        <v>2744</v>
      </c>
      <c r="N126" s="1" t="s">
        <v>2744</v>
      </c>
      <c r="O126" s="1" t="s">
        <v>2744</v>
      </c>
      <c r="P126" s="1" t="s">
        <v>2744</v>
      </c>
      <c r="Q126" s="1" t="s">
        <v>2744</v>
      </c>
      <c r="R126" s="1" t="s">
        <v>2744</v>
      </c>
      <c r="S126" s="1" t="s">
        <v>2744</v>
      </c>
      <c r="T126" s="1" t="s">
        <v>2744</v>
      </c>
      <c r="U126" s="1" t="s">
        <v>2744</v>
      </c>
      <c r="V126" s="1" t="s">
        <v>2744</v>
      </c>
      <c r="W126" s="1" t="s">
        <v>2744</v>
      </c>
      <c r="X126" s="1" t="s">
        <v>2744</v>
      </c>
      <c r="Y126" s="1" t="s">
        <v>2744</v>
      </c>
      <c r="Z126" s="1" t="s">
        <v>2744</v>
      </c>
      <c r="AA126" s="1" t="s">
        <v>2744</v>
      </c>
      <c r="AB126" s="1" t="s">
        <v>2744</v>
      </c>
      <c r="AC126" s="1" t="s">
        <v>2744</v>
      </c>
    </row>
    <row r="127" spans="2:29" ht="42" x14ac:dyDescent="0.3">
      <c r="B127" s="19" t="s">
        <v>2976</v>
      </c>
      <c r="C127" s="17" t="s">
        <v>3001</v>
      </c>
      <c r="D127" s="16"/>
      <c r="E127" s="2"/>
      <c r="F127" s="2"/>
      <c r="G127" s="2"/>
      <c r="H127" s="2"/>
      <c r="I127" s="2"/>
      <c r="J127" s="2"/>
      <c r="K127" s="3">
        <f>SUM(GMIC_22A_SCDPT5!SCDPT5_591BEGINNG_9:GMIC_22A_SCDPT5!SCDPT5_591ENDINGG_9)</f>
        <v>0</v>
      </c>
      <c r="L127" s="3">
        <f>SUM(GMIC_22A_SCDPT5!SCDPT5_591BEGINNG_10:GMIC_22A_SCDPT5!SCDPT5_591ENDINGG_10)</f>
        <v>0</v>
      </c>
      <c r="M127" s="3">
        <f>SUM(GMIC_22A_SCDPT5!SCDPT5_591BEGINNG_11:GMIC_22A_SCDPT5!SCDPT5_591ENDINGG_11)</f>
        <v>0</v>
      </c>
      <c r="N127" s="3">
        <f>SUM(GMIC_22A_SCDPT5!SCDPT5_591BEGINNG_12:GMIC_22A_SCDPT5!SCDPT5_591ENDINGG_12)</f>
        <v>0</v>
      </c>
      <c r="O127" s="3">
        <f>SUM(GMIC_22A_SCDPT5!SCDPT5_591BEGINNG_13:GMIC_22A_SCDPT5!SCDPT5_591ENDINGG_13)</f>
        <v>0</v>
      </c>
      <c r="P127" s="3">
        <f>SUM(GMIC_22A_SCDPT5!SCDPT5_591BEGINNG_14:GMIC_22A_SCDPT5!SCDPT5_591ENDINGG_14)</f>
        <v>0</v>
      </c>
      <c r="Q127" s="3">
        <f>SUM(GMIC_22A_SCDPT5!SCDPT5_591BEGINNG_15:GMIC_22A_SCDPT5!SCDPT5_591ENDINGG_15)</f>
        <v>0</v>
      </c>
      <c r="R127" s="3">
        <f>SUM(GMIC_22A_SCDPT5!SCDPT5_591BEGINNG_16:GMIC_22A_SCDPT5!SCDPT5_591ENDINGG_16)</f>
        <v>0</v>
      </c>
      <c r="S127" s="3">
        <f>SUM(GMIC_22A_SCDPT5!SCDPT5_591BEGINNG_17:GMIC_22A_SCDPT5!SCDPT5_591ENDINGG_17)</f>
        <v>0</v>
      </c>
      <c r="T127" s="3">
        <f>SUM(GMIC_22A_SCDPT5!SCDPT5_591BEGINNG_18:GMIC_22A_SCDPT5!SCDPT5_591ENDINGG_18)</f>
        <v>0</v>
      </c>
      <c r="U127" s="3">
        <f>SUM(GMIC_22A_SCDPT5!SCDPT5_591BEGINNG_19:GMIC_22A_SCDPT5!SCDPT5_591ENDINGG_19)</f>
        <v>0</v>
      </c>
      <c r="V127" s="3">
        <f>SUM(GMIC_22A_SCDPT5!SCDPT5_591BEGINNG_20:GMIC_22A_SCDPT5!SCDPT5_591ENDINGG_20)</f>
        <v>0</v>
      </c>
      <c r="W127" s="3">
        <f>SUM(GMIC_22A_SCDPT5!SCDPT5_591BEGINNG_21:GMIC_22A_SCDPT5!SCDPT5_591ENDINGG_21)</f>
        <v>0</v>
      </c>
      <c r="X127" s="2"/>
      <c r="Y127" s="2"/>
      <c r="Z127" s="2"/>
      <c r="AA127" s="2"/>
      <c r="AB127" s="2"/>
      <c r="AC127" s="2"/>
    </row>
    <row r="128" spans="2:29" x14ac:dyDescent="0.3">
      <c r="B128" s="7" t="s">
        <v>2744</v>
      </c>
      <c r="C128" s="1" t="s">
        <v>2744</v>
      </c>
      <c r="D128" s="8" t="s">
        <v>2744</v>
      </c>
      <c r="E128" s="1" t="s">
        <v>2744</v>
      </c>
      <c r="F128" s="1" t="s">
        <v>2744</v>
      </c>
      <c r="G128" s="1" t="s">
        <v>2744</v>
      </c>
      <c r="H128" s="1" t="s">
        <v>2744</v>
      </c>
      <c r="I128" s="1" t="s">
        <v>2744</v>
      </c>
      <c r="J128" s="1" t="s">
        <v>2744</v>
      </c>
      <c r="K128" s="1" t="s">
        <v>2744</v>
      </c>
      <c r="L128" s="1" t="s">
        <v>2744</v>
      </c>
      <c r="M128" s="1" t="s">
        <v>2744</v>
      </c>
      <c r="N128" s="1" t="s">
        <v>2744</v>
      </c>
      <c r="O128" s="1" t="s">
        <v>2744</v>
      </c>
      <c r="P128" s="1" t="s">
        <v>2744</v>
      </c>
      <c r="Q128" s="1" t="s">
        <v>2744</v>
      </c>
      <c r="R128" s="1" t="s">
        <v>2744</v>
      </c>
      <c r="S128" s="1" t="s">
        <v>2744</v>
      </c>
      <c r="T128" s="1" t="s">
        <v>2744</v>
      </c>
      <c r="U128" s="1" t="s">
        <v>2744</v>
      </c>
      <c r="V128" s="1" t="s">
        <v>2744</v>
      </c>
      <c r="W128" s="1" t="s">
        <v>2744</v>
      </c>
      <c r="X128" s="1" t="s">
        <v>2744</v>
      </c>
      <c r="Y128" s="1" t="s">
        <v>2744</v>
      </c>
      <c r="Z128" s="1" t="s">
        <v>2744</v>
      </c>
      <c r="AA128" s="1" t="s">
        <v>2744</v>
      </c>
      <c r="AB128" s="1" t="s">
        <v>2744</v>
      </c>
      <c r="AC128" s="1" t="s">
        <v>2744</v>
      </c>
    </row>
    <row r="129" spans="2:29" x14ac:dyDescent="0.3">
      <c r="B129" s="18" t="s">
        <v>1093</v>
      </c>
      <c r="C129" s="25" t="s">
        <v>3897</v>
      </c>
      <c r="D129" s="15" t="s">
        <v>2</v>
      </c>
      <c r="E129" s="20" t="s">
        <v>2</v>
      </c>
      <c r="F129" s="6"/>
      <c r="G129" s="5" t="s">
        <v>2</v>
      </c>
      <c r="H129" s="6"/>
      <c r="I129" s="5" t="s">
        <v>2</v>
      </c>
      <c r="J129" s="28"/>
      <c r="K129" s="4"/>
      <c r="L129" s="4"/>
      <c r="M129" s="4"/>
      <c r="N129" s="4"/>
      <c r="O129" s="4"/>
      <c r="P129" s="4"/>
      <c r="Q129" s="24"/>
      <c r="R129" s="4"/>
      <c r="S129" s="4"/>
      <c r="T129" s="4"/>
      <c r="U129" s="24"/>
      <c r="V129" s="4"/>
      <c r="W129" s="4"/>
      <c r="X129" s="2"/>
      <c r="Y129" s="5" t="s">
        <v>2</v>
      </c>
      <c r="Z129" s="5" t="s">
        <v>2</v>
      </c>
      <c r="AA129" s="5" t="s">
        <v>2</v>
      </c>
      <c r="AB129" s="21" t="s">
        <v>2</v>
      </c>
      <c r="AC129" s="26" t="s">
        <v>2</v>
      </c>
    </row>
    <row r="130" spans="2:29" x14ac:dyDescent="0.3">
      <c r="B130" s="7" t="s">
        <v>2744</v>
      </c>
      <c r="C130" s="1" t="s">
        <v>2744</v>
      </c>
      <c r="D130" s="8" t="s">
        <v>2744</v>
      </c>
      <c r="E130" s="1" t="s">
        <v>2744</v>
      </c>
      <c r="F130" s="1" t="s">
        <v>2744</v>
      </c>
      <c r="G130" s="1" t="s">
        <v>2744</v>
      </c>
      <c r="H130" s="1" t="s">
        <v>2744</v>
      </c>
      <c r="I130" s="1" t="s">
        <v>2744</v>
      </c>
      <c r="J130" s="1" t="s">
        <v>2744</v>
      </c>
      <c r="K130" s="1" t="s">
        <v>2744</v>
      </c>
      <c r="L130" s="1" t="s">
        <v>2744</v>
      </c>
      <c r="M130" s="1" t="s">
        <v>2744</v>
      </c>
      <c r="N130" s="1" t="s">
        <v>2744</v>
      </c>
      <c r="O130" s="1" t="s">
        <v>2744</v>
      </c>
      <c r="P130" s="1" t="s">
        <v>2744</v>
      </c>
      <c r="Q130" s="1" t="s">
        <v>2744</v>
      </c>
      <c r="R130" s="1" t="s">
        <v>2744</v>
      </c>
      <c r="S130" s="1" t="s">
        <v>2744</v>
      </c>
      <c r="T130" s="1" t="s">
        <v>2744</v>
      </c>
      <c r="U130" s="1" t="s">
        <v>2744</v>
      </c>
      <c r="V130" s="1" t="s">
        <v>2744</v>
      </c>
      <c r="W130" s="1" t="s">
        <v>2744</v>
      </c>
      <c r="X130" s="1" t="s">
        <v>2744</v>
      </c>
      <c r="Y130" s="1" t="s">
        <v>2744</v>
      </c>
      <c r="Z130" s="1" t="s">
        <v>2744</v>
      </c>
      <c r="AA130" s="1" t="s">
        <v>2744</v>
      </c>
      <c r="AB130" s="1" t="s">
        <v>2744</v>
      </c>
      <c r="AC130" s="1" t="s">
        <v>2744</v>
      </c>
    </row>
    <row r="131" spans="2:29" ht="42" x14ac:dyDescent="0.3">
      <c r="B131" s="19" t="s">
        <v>2174</v>
      </c>
      <c r="C131" s="17" t="s">
        <v>3611</v>
      </c>
      <c r="D131" s="16"/>
      <c r="E131" s="2"/>
      <c r="F131" s="2"/>
      <c r="G131" s="2"/>
      <c r="H131" s="2"/>
      <c r="I131" s="2"/>
      <c r="J131" s="2"/>
      <c r="K131" s="3">
        <f>SUM(GMIC_22A_SCDPT5!SCDPT5_592BEGINNG_9:GMIC_22A_SCDPT5!SCDPT5_592ENDINGG_9)</f>
        <v>0</v>
      </c>
      <c r="L131" s="3">
        <f>SUM(GMIC_22A_SCDPT5!SCDPT5_592BEGINNG_10:GMIC_22A_SCDPT5!SCDPT5_592ENDINGG_10)</f>
        <v>0</v>
      </c>
      <c r="M131" s="3">
        <f>SUM(GMIC_22A_SCDPT5!SCDPT5_592BEGINNG_11:GMIC_22A_SCDPT5!SCDPT5_592ENDINGG_11)</f>
        <v>0</v>
      </c>
      <c r="N131" s="3">
        <f>SUM(GMIC_22A_SCDPT5!SCDPT5_592BEGINNG_12:GMIC_22A_SCDPT5!SCDPT5_592ENDINGG_12)</f>
        <v>0</v>
      </c>
      <c r="O131" s="3">
        <f>SUM(GMIC_22A_SCDPT5!SCDPT5_592BEGINNG_13:GMIC_22A_SCDPT5!SCDPT5_592ENDINGG_13)</f>
        <v>0</v>
      </c>
      <c r="P131" s="3">
        <f>SUM(GMIC_22A_SCDPT5!SCDPT5_592BEGINNG_14:GMIC_22A_SCDPT5!SCDPT5_592ENDINGG_14)</f>
        <v>0</v>
      </c>
      <c r="Q131" s="3">
        <f>SUM(GMIC_22A_SCDPT5!SCDPT5_592BEGINNG_15:GMIC_22A_SCDPT5!SCDPT5_592ENDINGG_15)</f>
        <v>0</v>
      </c>
      <c r="R131" s="3">
        <f>SUM(GMIC_22A_SCDPT5!SCDPT5_592BEGINNG_16:GMIC_22A_SCDPT5!SCDPT5_592ENDINGG_16)</f>
        <v>0</v>
      </c>
      <c r="S131" s="3">
        <f>SUM(GMIC_22A_SCDPT5!SCDPT5_592BEGINNG_17:GMIC_22A_SCDPT5!SCDPT5_592ENDINGG_17)</f>
        <v>0</v>
      </c>
      <c r="T131" s="3">
        <f>SUM(GMIC_22A_SCDPT5!SCDPT5_592BEGINNG_18:GMIC_22A_SCDPT5!SCDPT5_592ENDINGG_18)</f>
        <v>0</v>
      </c>
      <c r="U131" s="3">
        <f>SUM(GMIC_22A_SCDPT5!SCDPT5_592BEGINNG_19:GMIC_22A_SCDPT5!SCDPT5_592ENDINGG_19)</f>
        <v>0</v>
      </c>
      <c r="V131" s="3">
        <f>SUM(GMIC_22A_SCDPT5!SCDPT5_592BEGINNG_20:GMIC_22A_SCDPT5!SCDPT5_592ENDINGG_20)</f>
        <v>0</v>
      </c>
      <c r="W131" s="3">
        <f>SUM(GMIC_22A_SCDPT5!SCDPT5_592BEGINNG_21:GMIC_22A_SCDPT5!SCDPT5_592ENDINGG_21)</f>
        <v>0</v>
      </c>
      <c r="X131" s="2"/>
      <c r="Y131" s="2"/>
      <c r="Z131" s="2"/>
      <c r="AA131" s="2"/>
      <c r="AB131" s="2"/>
      <c r="AC131" s="2"/>
    </row>
    <row r="132" spans="2:29" x14ac:dyDescent="0.3">
      <c r="B132" s="19" t="s">
        <v>463</v>
      </c>
      <c r="C132" s="17" t="s">
        <v>4138</v>
      </c>
      <c r="D132" s="16"/>
      <c r="E132" s="2"/>
      <c r="F132" s="2"/>
      <c r="G132" s="2"/>
      <c r="H132" s="2"/>
      <c r="I132" s="2"/>
      <c r="J132" s="2"/>
      <c r="K132" s="3">
        <f>GMIC_22A_SCDPT5!SCDPT5_5019999999_9+GMIC_22A_SCDPT5!SCDPT5_5029999999_9+GMIC_22A_SCDPT5!SCDPT5_5319999999_9+GMIC_22A_SCDPT5!SCDPT5_5329999999_9+GMIC_22A_SCDPT5!SCDPT5_5519999999_9+GMIC_22A_SCDPT5!SCDPT5_5529999999_9+GMIC_22A_SCDPT5!SCDPT5_5719999999_9+GMIC_22A_SCDPT5!SCDPT5_5729999999_9+GMIC_22A_SCDPT5!SCDPT5_5819999999_9+GMIC_22A_SCDPT5!SCDPT5_5919999999_9+GMIC_22A_SCDPT5!SCDPT5_5929999999_9</f>
        <v>0</v>
      </c>
      <c r="L132" s="3">
        <f>GMIC_22A_SCDPT5!SCDPT5_5019999999_10+GMIC_22A_SCDPT5!SCDPT5_5029999999_10+GMIC_22A_SCDPT5!SCDPT5_5319999999_10+GMIC_22A_SCDPT5!SCDPT5_5329999999_10+GMIC_22A_SCDPT5!SCDPT5_5519999999_10+GMIC_22A_SCDPT5!SCDPT5_5529999999_10+GMIC_22A_SCDPT5!SCDPT5_5719999999_10+GMIC_22A_SCDPT5!SCDPT5_5729999999_10+GMIC_22A_SCDPT5!SCDPT5_5819999999_10+GMIC_22A_SCDPT5!SCDPT5_5919999999_10+GMIC_22A_SCDPT5!SCDPT5_5929999999_10</f>
        <v>0</v>
      </c>
      <c r="M132" s="3">
        <f>GMIC_22A_SCDPT5!SCDPT5_5019999999_11+GMIC_22A_SCDPT5!SCDPT5_5029999999_11+GMIC_22A_SCDPT5!SCDPT5_5319999999_11+GMIC_22A_SCDPT5!SCDPT5_5329999999_11+GMIC_22A_SCDPT5!SCDPT5_5519999999_11+GMIC_22A_SCDPT5!SCDPT5_5529999999_11+GMIC_22A_SCDPT5!SCDPT5_5719999999_11+GMIC_22A_SCDPT5!SCDPT5_5729999999_11+GMIC_22A_SCDPT5!SCDPT5_5819999999_11+GMIC_22A_SCDPT5!SCDPT5_5919999999_11+GMIC_22A_SCDPT5!SCDPT5_5929999999_11</f>
        <v>0</v>
      </c>
      <c r="N132" s="3">
        <f>GMIC_22A_SCDPT5!SCDPT5_5019999999_12+GMIC_22A_SCDPT5!SCDPT5_5029999999_12+GMIC_22A_SCDPT5!SCDPT5_5319999999_12+GMIC_22A_SCDPT5!SCDPT5_5329999999_12+GMIC_22A_SCDPT5!SCDPT5_5519999999_12+GMIC_22A_SCDPT5!SCDPT5_5529999999_12+GMIC_22A_SCDPT5!SCDPT5_5719999999_12+GMIC_22A_SCDPT5!SCDPT5_5729999999_12+GMIC_22A_SCDPT5!SCDPT5_5819999999_12+GMIC_22A_SCDPT5!SCDPT5_5919999999_12+GMIC_22A_SCDPT5!SCDPT5_5929999999_12</f>
        <v>0</v>
      </c>
      <c r="O132" s="3">
        <f>GMIC_22A_SCDPT5!SCDPT5_5019999999_13+GMIC_22A_SCDPT5!SCDPT5_5029999999_13+GMIC_22A_SCDPT5!SCDPT5_5319999999_13+GMIC_22A_SCDPT5!SCDPT5_5329999999_13+GMIC_22A_SCDPT5!SCDPT5_5519999999_13+GMIC_22A_SCDPT5!SCDPT5_5529999999_13+GMIC_22A_SCDPT5!SCDPT5_5719999999_13+GMIC_22A_SCDPT5!SCDPT5_5729999999_13+GMIC_22A_SCDPT5!SCDPT5_5819999999_13+GMIC_22A_SCDPT5!SCDPT5_5919999999_13+GMIC_22A_SCDPT5!SCDPT5_5929999999_13</f>
        <v>0</v>
      </c>
      <c r="P132" s="3">
        <f>GMIC_22A_SCDPT5!SCDPT5_5019999999_14+GMIC_22A_SCDPT5!SCDPT5_5029999999_14+GMIC_22A_SCDPT5!SCDPT5_5319999999_14+GMIC_22A_SCDPT5!SCDPT5_5329999999_14+GMIC_22A_SCDPT5!SCDPT5_5519999999_14+GMIC_22A_SCDPT5!SCDPT5_5529999999_14+GMIC_22A_SCDPT5!SCDPT5_5719999999_14+GMIC_22A_SCDPT5!SCDPT5_5729999999_14+GMIC_22A_SCDPT5!SCDPT5_5819999999_14+GMIC_22A_SCDPT5!SCDPT5_5919999999_14+GMIC_22A_SCDPT5!SCDPT5_5929999999_14</f>
        <v>0</v>
      </c>
      <c r="Q132" s="3">
        <f>GMIC_22A_SCDPT5!SCDPT5_5019999999_15+GMIC_22A_SCDPT5!SCDPT5_5029999999_15+GMIC_22A_SCDPT5!SCDPT5_5319999999_15+GMIC_22A_SCDPT5!SCDPT5_5329999999_15+GMIC_22A_SCDPT5!SCDPT5_5519999999_15+GMIC_22A_SCDPT5!SCDPT5_5529999999_15+GMIC_22A_SCDPT5!SCDPT5_5719999999_15+GMIC_22A_SCDPT5!SCDPT5_5729999999_15+GMIC_22A_SCDPT5!SCDPT5_5819999999_15+GMIC_22A_SCDPT5!SCDPT5_5919999999_15+GMIC_22A_SCDPT5!SCDPT5_5929999999_15</f>
        <v>0</v>
      </c>
      <c r="R132" s="3">
        <f>GMIC_22A_SCDPT5!SCDPT5_5019999999_16+GMIC_22A_SCDPT5!SCDPT5_5029999999_16+GMIC_22A_SCDPT5!SCDPT5_5319999999_16+GMIC_22A_SCDPT5!SCDPT5_5329999999_16+GMIC_22A_SCDPT5!SCDPT5_5519999999_16+GMIC_22A_SCDPT5!SCDPT5_5529999999_16+GMIC_22A_SCDPT5!SCDPT5_5719999999_16+GMIC_22A_SCDPT5!SCDPT5_5729999999_16+GMIC_22A_SCDPT5!SCDPT5_5819999999_16+GMIC_22A_SCDPT5!SCDPT5_5919999999_16+GMIC_22A_SCDPT5!SCDPT5_5929999999_16</f>
        <v>0</v>
      </c>
      <c r="S132" s="3">
        <f>GMIC_22A_SCDPT5!SCDPT5_5019999999_17+GMIC_22A_SCDPT5!SCDPT5_5029999999_17+GMIC_22A_SCDPT5!SCDPT5_5319999999_17+GMIC_22A_SCDPT5!SCDPT5_5329999999_17+GMIC_22A_SCDPT5!SCDPT5_5519999999_17+GMIC_22A_SCDPT5!SCDPT5_5529999999_17+GMIC_22A_SCDPT5!SCDPT5_5719999999_17+GMIC_22A_SCDPT5!SCDPT5_5729999999_17+GMIC_22A_SCDPT5!SCDPT5_5819999999_17+GMIC_22A_SCDPT5!SCDPT5_5919999999_17+GMIC_22A_SCDPT5!SCDPT5_5929999999_17</f>
        <v>0</v>
      </c>
      <c r="T132" s="3">
        <f>GMIC_22A_SCDPT5!SCDPT5_5019999999_18+GMIC_22A_SCDPT5!SCDPT5_5029999999_18+GMIC_22A_SCDPT5!SCDPT5_5319999999_18+GMIC_22A_SCDPT5!SCDPT5_5329999999_18+GMIC_22A_SCDPT5!SCDPT5_5519999999_18+GMIC_22A_SCDPT5!SCDPT5_5529999999_18+GMIC_22A_SCDPT5!SCDPT5_5719999999_18+GMIC_22A_SCDPT5!SCDPT5_5729999999_18+GMIC_22A_SCDPT5!SCDPT5_5819999999_18+GMIC_22A_SCDPT5!SCDPT5_5919999999_18+GMIC_22A_SCDPT5!SCDPT5_5929999999_18</f>
        <v>0</v>
      </c>
      <c r="U132" s="3">
        <f>GMIC_22A_SCDPT5!SCDPT5_5019999999_19+GMIC_22A_SCDPT5!SCDPT5_5029999999_19+GMIC_22A_SCDPT5!SCDPT5_5319999999_19+GMIC_22A_SCDPT5!SCDPT5_5329999999_19+GMIC_22A_SCDPT5!SCDPT5_5519999999_19+GMIC_22A_SCDPT5!SCDPT5_5529999999_19+GMIC_22A_SCDPT5!SCDPT5_5719999999_19+GMIC_22A_SCDPT5!SCDPT5_5729999999_19+GMIC_22A_SCDPT5!SCDPT5_5819999999_19+GMIC_22A_SCDPT5!SCDPT5_5919999999_19+GMIC_22A_SCDPT5!SCDPT5_5929999999_19</f>
        <v>0</v>
      </c>
      <c r="V132" s="3">
        <f>GMIC_22A_SCDPT5!SCDPT5_5019999999_20+GMIC_22A_SCDPT5!SCDPT5_5029999999_20+GMIC_22A_SCDPT5!SCDPT5_5319999999_20+GMIC_22A_SCDPT5!SCDPT5_5329999999_20+GMIC_22A_SCDPT5!SCDPT5_5519999999_20+GMIC_22A_SCDPT5!SCDPT5_5529999999_20+GMIC_22A_SCDPT5!SCDPT5_5719999999_20+GMIC_22A_SCDPT5!SCDPT5_5729999999_20+GMIC_22A_SCDPT5!SCDPT5_5819999999_20+GMIC_22A_SCDPT5!SCDPT5_5919999999_20+GMIC_22A_SCDPT5!SCDPT5_5929999999_20</f>
        <v>0</v>
      </c>
      <c r="W132" s="3">
        <f>GMIC_22A_SCDPT5!SCDPT5_5019999999_21+GMIC_22A_SCDPT5!SCDPT5_5029999999_21+GMIC_22A_SCDPT5!SCDPT5_5319999999_21+GMIC_22A_SCDPT5!SCDPT5_5329999999_21+GMIC_22A_SCDPT5!SCDPT5_5519999999_21+GMIC_22A_SCDPT5!SCDPT5_5529999999_21+GMIC_22A_SCDPT5!SCDPT5_5719999999_21+GMIC_22A_SCDPT5!SCDPT5_5729999999_21+GMIC_22A_SCDPT5!SCDPT5_5819999999_21+GMIC_22A_SCDPT5!SCDPT5_5919999999_21+GMIC_22A_SCDPT5!SCDPT5_5929999999_21</f>
        <v>0</v>
      </c>
      <c r="X132" s="2"/>
      <c r="Y132" s="2"/>
      <c r="Z132" s="2"/>
      <c r="AA132" s="2"/>
      <c r="AB132" s="2"/>
      <c r="AC132" s="2"/>
    </row>
    <row r="133" spans="2:29" ht="28" x14ac:dyDescent="0.3">
      <c r="B133" s="19" t="s">
        <v>705</v>
      </c>
      <c r="C133" s="17" t="s">
        <v>1094</v>
      </c>
      <c r="D133" s="16"/>
      <c r="E133" s="2"/>
      <c r="F133" s="2"/>
      <c r="G133" s="2"/>
      <c r="H133" s="2"/>
      <c r="I133" s="2"/>
      <c r="J133" s="2"/>
      <c r="K133" s="3">
        <f>GMIC_22A_SCDPT5!SCDPT5_4509999998_9+GMIC_22A_SCDPT5!SCDPT5_5989999998_9</f>
        <v>0</v>
      </c>
      <c r="L133" s="3">
        <f>GMIC_22A_SCDPT5!SCDPT5_4509999998_10+GMIC_22A_SCDPT5!SCDPT5_5989999998_10</f>
        <v>0</v>
      </c>
      <c r="M133" s="3">
        <f>GMIC_22A_SCDPT5!SCDPT5_4509999998_11+GMIC_22A_SCDPT5!SCDPT5_5989999998_11</f>
        <v>0</v>
      </c>
      <c r="N133" s="3">
        <f>GMIC_22A_SCDPT5!SCDPT5_4509999998_12+GMIC_22A_SCDPT5!SCDPT5_5989999998_12</f>
        <v>0</v>
      </c>
      <c r="O133" s="3">
        <f>GMIC_22A_SCDPT5!SCDPT5_4509999998_13+GMIC_22A_SCDPT5!SCDPT5_5989999998_13</f>
        <v>0</v>
      </c>
      <c r="P133" s="3">
        <f>GMIC_22A_SCDPT5!SCDPT5_4509999998_14+GMIC_22A_SCDPT5!SCDPT5_5989999998_14</f>
        <v>0</v>
      </c>
      <c r="Q133" s="3">
        <f>GMIC_22A_SCDPT5!SCDPT5_4509999998_15+GMIC_22A_SCDPT5!SCDPT5_5989999998_15</f>
        <v>0</v>
      </c>
      <c r="R133" s="3">
        <f>GMIC_22A_SCDPT5!SCDPT5_4509999998_16+GMIC_22A_SCDPT5!SCDPT5_5989999998_16</f>
        <v>0</v>
      </c>
      <c r="S133" s="3">
        <f>GMIC_22A_SCDPT5!SCDPT5_4509999998_17+GMIC_22A_SCDPT5!SCDPT5_5989999998_17</f>
        <v>0</v>
      </c>
      <c r="T133" s="3">
        <f>GMIC_22A_SCDPT5!SCDPT5_4509999998_18+GMIC_22A_SCDPT5!SCDPT5_5989999998_18</f>
        <v>0</v>
      </c>
      <c r="U133" s="3">
        <f>GMIC_22A_SCDPT5!SCDPT5_4509999998_19+GMIC_22A_SCDPT5!SCDPT5_5989999998_19</f>
        <v>0</v>
      </c>
      <c r="V133" s="3">
        <f>GMIC_22A_SCDPT5!SCDPT5_4509999998_20+GMIC_22A_SCDPT5!SCDPT5_5989999998_20</f>
        <v>0</v>
      </c>
      <c r="W133" s="3">
        <f>GMIC_22A_SCDPT5!SCDPT5_4509999998_21+GMIC_22A_SCDPT5!SCDPT5_5989999998_21</f>
        <v>0</v>
      </c>
      <c r="X133" s="2"/>
      <c r="Y133" s="2"/>
      <c r="Z133" s="2"/>
      <c r="AA133" s="2"/>
      <c r="AB133" s="2"/>
      <c r="AC133" s="2"/>
    </row>
    <row r="134" spans="2:29" x14ac:dyDescent="0.3">
      <c r="B134" s="61" t="s">
        <v>1095</v>
      </c>
      <c r="C134" s="56" t="s">
        <v>464</v>
      </c>
      <c r="D134" s="65"/>
      <c r="E134" s="27"/>
      <c r="F134" s="27"/>
      <c r="G134" s="27"/>
      <c r="H134" s="27"/>
      <c r="I134" s="27"/>
      <c r="J134" s="27"/>
      <c r="K134" s="30">
        <f>GMIC_22A_SCDPT5!SCDPT5_2509999998_9+GMIC_22A_SCDPT5!SCDPT5_4509999998_9+GMIC_22A_SCDPT5!SCDPT5_5989999998_9</f>
        <v>26627842</v>
      </c>
      <c r="L134" s="30">
        <f>GMIC_22A_SCDPT5!SCDPT5_2509999998_10+GMIC_22A_SCDPT5!SCDPT5_4509999998_10+GMIC_22A_SCDPT5!SCDPT5_5989999998_10</f>
        <v>27087723</v>
      </c>
      <c r="M134" s="30">
        <f>GMIC_22A_SCDPT5!SCDPT5_2509999998_11+GMIC_22A_SCDPT5!SCDPT5_4509999998_11+GMIC_22A_SCDPT5!SCDPT5_5989999998_11</f>
        <v>26653800</v>
      </c>
      <c r="N134" s="30">
        <f>GMIC_22A_SCDPT5!SCDPT5_2509999998_12+GMIC_22A_SCDPT5!SCDPT5_4509999998_12+GMIC_22A_SCDPT5!SCDPT5_5989999998_12</f>
        <v>0</v>
      </c>
      <c r="O134" s="30">
        <f>GMIC_22A_SCDPT5!SCDPT5_2509999998_13+GMIC_22A_SCDPT5!SCDPT5_4509999998_13+GMIC_22A_SCDPT5!SCDPT5_5989999998_13</f>
        <v>25958</v>
      </c>
      <c r="P134" s="30">
        <f>GMIC_22A_SCDPT5!SCDPT5_2509999998_14+GMIC_22A_SCDPT5!SCDPT5_4509999998_14+GMIC_22A_SCDPT5!SCDPT5_5989999998_14</f>
        <v>0</v>
      </c>
      <c r="Q134" s="30">
        <f>GMIC_22A_SCDPT5!SCDPT5_2509999998_15+GMIC_22A_SCDPT5!SCDPT5_4509999998_15+GMIC_22A_SCDPT5!SCDPT5_5989999998_15</f>
        <v>25958</v>
      </c>
      <c r="R134" s="30">
        <f>GMIC_22A_SCDPT5!SCDPT5_2509999998_16+GMIC_22A_SCDPT5!SCDPT5_4509999998_16+GMIC_22A_SCDPT5!SCDPT5_5989999998_16</f>
        <v>0</v>
      </c>
      <c r="S134" s="30">
        <f>GMIC_22A_SCDPT5!SCDPT5_2509999998_17+GMIC_22A_SCDPT5!SCDPT5_4509999998_17+GMIC_22A_SCDPT5!SCDPT5_5989999998_17</f>
        <v>0</v>
      </c>
      <c r="T134" s="30">
        <f>GMIC_22A_SCDPT5!SCDPT5_2509999998_18+GMIC_22A_SCDPT5!SCDPT5_4509999998_18+GMIC_22A_SCDPT5!SCDPT5_5989999998_18</f>
        <v>27273</v>
      </c>
      <c r="U134" s="30">
        <f>GMIC_22A_SCDPT5!SCDPT5_2509999998_19+GMIC_22A_SCDPT5!SCDPT5_4509999998_19+GMIC_22A_SCDPT5!SCDPT5_5989999998_19</f>
        <v>27273</v>
      </c>
      <c r="V134" s="30">
        <f>GMIC_22A_SCDPT5!SCDPT5_2509999998_20+GMIC_22A_SCDPT5!SCDPT5_4509999998_20+GMIC_22A_SCDPT5!SCDPT5_5989999998_20</f>
        <v>745083</v>
      </c>
      <c r="W134" s="30">
        <f>GMIC_22A_SCDPT5!SCDPT5_2509999998_21+GMIC_22A_SCDPT5!SCDPT5_4509999998_21+GMIC_22A_SCDPT5!SCDPT5_5989999998_21</f>
        <v>94860</v>
      </c>
      <c r="X134" s="27"/>
      <c r="Y134" s="27"/>
      <c r="Z134" s="27"/>
      <c r="AA134" s="27"/>
      <c r="AB134" s="27"/>
      <c r="AC134" s="27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&amp;CSCDPT5SCDPT5</oddHeader>
    <oddFooter>&amp;LWing Application : &amp;R SaveAs(3/3/2023-8:37 AM)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hODMxYjcyNC01NjBkLTQxYmItYTdmMC01OTNmMWUxY2YyYzkiIG9yaWdpbj0idXNlclNlbGVjdGVkIj48ZWxlbWVudCB1aWQ9ImlkX2NsYXNzaWZpY2F0aW9uX25vbmJ1c2luZXNzIiB2YWx1ZT0iIiB4bWxucz0iaHR0cDovL3d3dy5ib2xkb25qYW1lcy5jb20vMjAwOC8wMS9zaWUvaW50ZXJuYWwvbGFiZWwiIC8+PGVsZW1lbnQgdWlkPSI3OGNhNzdhMi01YjBmLTRjOGItOWZkMi1lMGQ3NmU3NjEwNGEiIHZhbHVlPSIiIHhtbG5zPSJodHRwOi8vd3d3LmJvbGRvbmphbWVzLmNvbS8yMDA4LzAxL3NpZS9pbnRlcm5hbC9sYWJlbCIgLz48L3Npc2w+PFVzZXJOYW1lPkdFTldPUlRIXDUwMjAwNzM4NzwvVXNlck5hbWU+PERhdGVUaW1lPjMvMy8yMDIzIDE6NDQ6MzcgUE08L0RhdGVUaW1lPjxMYWJlbFN0cmluZz5VTlJFU1RSSUNURUQ8L0xhYmVsU3RyaW5nPjwvaXRlbT48L2xhYmVsSGlzdG9yeT4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a831b724-560d-41bb-a7f0-593f1e1cf2c9" origin="userSelected">
  <element uid="id_classification_nonbusiness" value=""/>
  <element uid="78ca77a2-5b0f-4c8b-9fd2-e0d76e76104a" value=""/>
</sisl>
</file>

<file path=customXml/itemProps1.xml><?xml version="1.0" encoding="utf-8"?>
<ds:datastoreItem xmlns:ds="http://schemas.openxmlformats.org/officeDocument/2006/customXml" ds:itemID="{A67F5A39-0A47-4FD3-A1B2-F65F52787F1E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069DBAA-3858-49BE-8EDF-3CF6F097803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10512</vt:i4>
      </vt:variant>
    </vt:vector>
  </HeadingPairs>
  <TitlesOfParts>
    <vt:vector size="10524" baseType="lpstr">
      <vt:lpstr>GMIC_22A_SCDPT1</vt:lpstr>
      <vt:lpstr>GMIC_22A_SCDPT1F</vt:lpstr>
      <vt:lpstr>GMIC_22A_SCDPT2SN1</vt:lpstr>
      <vt:lpstr>GMIC_22A_SCDPT2SN1F</vt:lpstr>
      <vt:lpstr>GMIC_22A_SCDPT2SN2</vt:lpstr>
      <vt:lpstr>GMIC_22A_SCDPT2SN2F</vt:lpstr>
      <vt:lpstr>GMIC_22A_SCDPT3</vt:lpstr>
      <vt:lpstr>GMIC_22A_SCDPT4</vt:lpstr>
      <vt:lpstr>GMIC_22A_SCDPT5</vt:lpstr>
      <vt:lpstr>GMIC_22A_SCDPT6SN1</vt:lpstr>
      <vt:lpstr>GMIC_22A_SCDPT6SN1F</vt:lpstr>
      <vt:lpstr>GMIC_22A_SCDPT6SN2</vt:lpstr>
      <vt:lpstr>GMIC_22A_SCDPT1!SCDPT1_0010000000_Range</vt:lpstr>
      <vt:lpstr>GMIC_22A_SCDPT1!SCDPT1_0010000001_1</vt:lpstr>
      <vt:lpstr>GMIC_22A_SCDPT1!SCDPT1_0010000001_10</vt:lpstr>
      <vt:lpstr>GMIC_22A_SCDPT1!SCDPT1_0010000001_11</vt:lpstr>
      <vt:lpstr>GMIC_22A_SCDPT1!SCDPT1_0010000001_12</vt:lpstr>
      <vt:lpstr>GMIC_22A_SCDPT1!SCDPT1_0010000001_13</vt:lpstr>
      <vt:lpstr>GMIC_22A_SCDPT1!SCDPT1_0010000001_14</vt:lpstr>
      <vt:lpstr>GMIC_22A_SCDPT1!SCDPT1_0010000001_15</vt:lpstr>
      <vt:lpstr>GMIC_22A_SCDPT1!SCDPT1_0010000001_16</vt:lpstr>
      <vt:lpstr>GMIC_22A_SCDPT1!SCDPT1_0010000001_17</vt:lpstr>
      <vt:lpstr>GMIC_22A_SCDPT1!SCDPT1_0010000001_18</vt:lpstr>
      <vt:lpstr>GMIC_22A_SCDPT1!SCDPT1_0010000001_19</vt:lpstr>
      <vt:lpstr>GMIC_22A_SCDPT1!SCDPT1_0010000001_2</vt:lpstr>
      <vt:lpstr>GMIC_22A_SCDPT1!SCDPT1_0010000001_20</vt:lpstr>
      <vt:lpstr>GMIC_22A_SCDPT1!SCDPT1_0010000001_21</vt:lpstr>
      <vt:lpstr>GMIC_22A_SCDPT1!SCDPT1_0010000001_22</vt:lpstr>
      <vt:lpstr>GMIC_22A_SCDPT1!SCDPT1_0010000001_24</vt:lpstr>
      <vt:lpstr>GMIC_22A_SCDPT1!SCDPT1_0010000001_25</vt:lpstr>
      <vt:lpstr>GMIC_22A_SCDPT1!SCDPT1_0010000001_27</vt:lpstr>
      <vt:lpstr>GMIC_22A_SCDPT1!SCDPT1_0010000001_28</vt:lpstr>
      <vt:lpstr>GMIC_22A_SCDPT1!SCDPT1_0010000001_29</vt:lpstr>
      <vt:lpstr>GMIC_22A_SCDPT1!SCDPT1_0010000001_3</vt:lpstr>
      <vt:lpstr>GMIC_22A_SCDPT1!SCDPT1_0010000001_30</vt:lpstr>
      <vt:lpstr>GMIC_22A_SCDPT1!SCDPT1_0010000001_31</vt:lpstr>
      <vt:lpstr>GMIC_22A_SCDPT1!SCDPT1_0010000001_32</vt:lpstr>
      <vt:lpstr>GMIC_22A_SCDPT1!SCDPT1_0010000001_33</vt:lpstr>
      <vt:lpstr>GMIC_22A_SCDPT1!SCDPT1_0010000001_34</vt:lpstr>
      <vt:lpstr>GMIC_22A_SCDPT1!SCDPT1_0010000001_35</vt:lpstr>
      <vt:lpstr>GMIC_22A_SCDPT1!SCDPT1_0010000001_36</vt:lpstr>
      <vt:lpstr>GMIC_22A_SCDPT1!SCDPT1_0010000001_4</vt:lpstr>
      <vt:lpstr>GMIC_22A_SCDPT1!SCDPT1_0010000001_5</vt:lpstr>
      <vt:lpstr>GMIC_22A_SCDPT1!SCDPT1_0010000001_6.01</vt:lpstr>
      <vt:lpstr>GMIC_22A_SCDPT1!SCDPT1_0010000001_6.02</vt:lpstr>
      <vt:lpstr>GMIC_22A_SCDPT1!SCDPT1_0010000001_6.03</vt:lpstr>
      <vt:lpstr>GMIC_22A_SCDPT1!SCDPT1_0010000001_7</vt:lpstr>
      <vt:lpstr>GMIC_22A_SCDPT1!SCDPT1_0010000001_8</vt:lpstr>
      <vt:lpstr>GMIC_22A_SCDPT1!SCDPT1_0010000001_9</vt:lpstr>
      <vt:lpstr>GMIC_22A_SCDPT1!SCDPT1_0019999999_10</vt:lpstr>
      <vt:lpstr>GMIC_22A_SCDPT1!SCDPT1_0019999999_11</vt:lpstr>
      <vt:lpstr>GMIC_22A_SCDPT1!SCDPT1_0019999999_12</vt:lpstr>
      <vt:lpstr>GMIC_22A_SCDPT1!SCDPT1_0019999999_13</vt:lpstr>
      <vt:lpstr>GMIC_22A_SCDPT1!SCDPT1_0019999999_14</vt:lpstr>
      <vt:lpstr>GMIC_22A_SCDPT1!SCDPT1_0019999999_15</vt:lpstr>
      <vt:lpstr>GMIC_22A_SCDPT1!SCDPT1_0019999999_19</vt:lpstr>
      <vt:lpstr>GMIC_22A_SCDPT1!SCDPT1_0019999999_20</vt:lpstr>
      <vt:lpstr>GMIC_22A_SCDPT1!SCDPT1_0019999999_7</vt:lpstr>
      <vt:lpstr>GMIC_22A_SCDPT1!SCDPT1_0019999999_9</vt:lpstr>
      <vt:lpstr>GMIC_22A_SCDPT1!SCDPT1_001BEGINNG_1</vt:lpstr>
      <vt:lpstr>GMIC_22A_SCDPT1!SCDPT1_001BEGINNG_10</vt:lpstr>
      <vt:lpstr>GMIC_22A_SCDPT1!SCDPT1_001BEGINNG_11</vt:lpstr>
      <vt:lpstr>GMIC_22A_SCDPT1!SCDPT1_001BEGINNG_12</vt:lpstr>
      <vt:lpstr>GMIC_22A_SCDPT1!SCDPT1_001BEGINNG_13</vt:lpstr>
      <vt:lpstr>GMIC_22A_SCDPT1!SCDPT1_001BEGINNG_14</vt:lpstr>
      <vt:lpstr>GMIC_22A_SCDPT1!SCDPT1_001BEGINNG_15</vt:lpstr>
      <vt:lpstr>GMIC_22A_SCDPT1!SCDPT1_001BEGINNG_16</vt:lpstr>
      <vt:lpstr>GMIC_22A_SCDPT1!SCDPT1_001BEGINNG_17</vt:lpstr>
      <vt:lpstr>GMIC_22A_SCDPT1!SCDPT1_001BEGINNG_18</vt:lpstr>
      <vt:lpstr>GMIC_22A_SCDPT1!SCDPT1_001BEGINNG_19</vt:lpstr>
      <vt:lpstr>GMIC_22A_SCDPT1!SCDPT1_001BEGINNG_2</vt:lpstr>
      <vt:lpstr>GMIC_22A_SCDPT1!SCDPT1_001BEGINNG_20</vt:lpstr>
      <vt:lpstr>GMIC_22A_SCDPT1!SCDPT1_001BEGINNG_21</vt:lpstr>
      <vt:lpstr>GMIC_22A_SCDPT1!SCDPT1_001BEGINNG_22</vt:lpstr>
      <vt:lpstr>GMIC_22A_SCDPT1!SCDPT1_001BEGINNG_23</vt:lpstr>
      <vt:lpstr>GMIC_22A_SCDPT1!SCDPT1_001BEGINNG_24</vt:lpstr>
      <vt:lpstr>GMIC_22A_SCDPT1!SCDPT1_001BEGINNG_25</vt:lpstr>
      <vt:lpstr>GMIC_22A_SCDPT1!SCDPT1_001BEGINNG_26</vt:lpstr>
      <vt:lpstr>GMIC_22A_SCDPT1!SCDPT1_001BEGINNG_27</vt:lpstr>
      <vt:lpstr>GMIC_22A_SCDPT1!SCDPT1_001BEGINNG_28</vt:lpstr>
      <vt:lpstr>GMIC_22A_SCDPT1!SCDPT1_001BEGINNG_29</vt:lpstr>
      <vt:lpstr>GMIC_22A_SCDPT1!SCDPT1_001BEGINNG_3</vt:lpstr>
      <vt:lpstr>GMIC_22A_SCDPT1!SCDPT1_001BEGINNG_30</vt:lpstr>
      <vt:lpstr>GMIC_22A_SCDPT1!SCDPT1_001BEGINNG_31</vt:lpstr>
      <vt:lpstr>GMIC_22A_SCDPT1!SCDPT1_001BEGINNG_32</vt:lpstr>
      <vt:lpstr>GMIC_22A_SCDPT1!SCDPT1_001BEGINNG_33</vt:lpstr>
      <vt:lpstr>GMIC_22A_SCDPT1!SCDPT1_001BEGINNG_34</vt:lpstr>
      <vt:lpstr>GMIC_22A_SCDPT1!SCDPT1_001BEGINNG_35</vt:lpstr>
      <vt:lpstr>GMIC_22A_SCDPT1!SCDPT1_001BEGINNG_36</vt:lpstr>
      <vt:lpstr>GMIC_22A_SCDPT1!SCDPT1_001BEGINNG_4</vt:lpstr>
      <vt:lpstr>GMIC_22A_SCDPT1!SCDPT1_001BEGINNG_5</vt:lpstr>
      <vt:lpstr>GMIC_22A_SCDPT1!SCDPT1_001BEGINNG_6.01</vt:lpstr>
      <vt:lpstr>GMIC_22A_SCDPT1!SCDPT1_001BEGINNG_6.02</vt:lpstr>
      <vt:lpstr>GMIC_22A_SCDPT1!SCDPT1_001BEGINNG_6.03</vt:lpstr>
      <vt:lpstr>GMIC_22A_SCDPT1!SCDPT1_001BEGINNG_7</vt:lpstr>
      <vt:lpstr>GMIC_22A_SCDPT1!SCDPT1_001BEGINNG_8</vt:lpstr>
      <vt:lpstr>GMIC_22A_SCDPT1!SCDPT1_001BEGINNG_9</vt:lpstr>
      <vt:lpstr>GMIC_22A_SCDPT1!SCDPT1_001ENDINGG_10</vt:lpstr>
      <vt:lpstr>GMIC_22A_SCDPT1!SCDPT1_001ENDINGG_11</vt:lpstr>
      <vt:lpstr>GMIC_22A_SCDPT1!SCDPT1_001ENDINGG_12</vt:lpstr>
      <vt:lpstr>GMIC_22A_SCDPT1!SCDPT1_001ENDINGG_13</vt:lpstr>
      <vt:lpstr>GMIC_22A_SCDPT1!SCDPT1_001ENDINGG_14</vt:lpstr>
      <vt:lpstr>GMIC_22A_SCDPT1!SCDPT1_001ENDINGG_15</vt:lpstr>
      <vt:lpstr>GMIC_22A_SCDPT1!SCDPT1_001ENDINGG_16</vt:lpstr>
      <vt:lpstr>GMIC_22A_SCDPT1!SCDPT1_001ENDINGG_17</vt:lpstr>
      <vt:lpstr>GMIC_22A_SCDPT1!SCDPT1_001ENDINGG_18</vt:lpstr>
      <vt:lpstr>GMIC_22A_SCDPT1!SCDPT1_001ENDINGG_19</vt:lpstr>
      <vt:lpstr>GMIC_22A_SCDPT1!SCDPT1_001ENDINGG_2</vt:lpstr>
      <vt:lpstr>GMIC_22A_SCDPT1!SCDPT1_001ENDINGG_20</vt:lpstr>
      <vt:lpstr>GMIC_22A_SCDPT1!SCDPT1_001ENDINGG_21</vt:lpstr>
      <vt:lpstr>GMIC_22A_SCDPT1!SCDPT1_001ENDINGG_22</vt:lpstr>
      <vt:lpstr>GMIC_22A_SCDPT1!SCDPT1_001ENDINGG_23</vt:lpstr>
      <vt:lpstr>GMIC_22A_SCDPT1!SCDPT1_001ENDINGG_24</vt:lpstr>
      <vt:lpstr>GMIC_22A_SCDPT1!SCDPT1_001ENDINGG_25</vt:lpstr>
      <vt:lpstr>GMIC_22A_SCDPT1!SCDPT1_001ENDINGG_26</vt:lpstr>
      <vt:lpstr>GMIC_22A_SCDPT1!SCDPT1_001ENDINGG_27</vt:lpstr>
      <vt:lpstr>GMIC_22A_SCDPT1!SCDPT1_001ENDINGG_28</vt:lpstr>
      <vt:lpstr>GMIC_22A_SCDPT1!SCDPT1_001ENDINGG_29</vt:lpstr>
      <vt:lpstr>GMIC_22A_SCDPT1!SCDPT1_001ENDINGG_3</vt:lpstr>
      <vt:lpstr>GMIC_22A_SCDPT1!SCDPT1_001ENDINGG_30</vt:lpstr>
      <vt:lpstr>GMIC_22A_SCDPT1!SCDPT1_001ENDINGG_31</vt:lpstr>
      <vt:lpstr>GMIC_22A_SCDPT1!SCDPT1_001ENDINGG_32</vt:lpstr>
      <vt:lpstr>GMIC_22A_SCDPT1!SCDPT1_001ENDINGG_33</vt:lpstr>
      <vt:lpstr>GMIC_22A_SCDPT1!SCDPT1_001ENDINGG_34</vt:lpstr>
      <vt:lpstr>GMIC_22A_SCDPT1!SCDPT1_001ENDINGG_35</vt:lpstr>
      <vt:lpstr>GMIC_22A_SCDPT1!SCDPT1_001ENDINGG_36</vt:lpstr>
      <vt:lpstr>GMIC_22A_SCDPT1!SCDPT1_001ENDINGG_4</vt:lpstr>
      <vt:lpstr>GMIC_22A_SCDPT1!SCDPT1_001ENDINGG_5</vt:lpstr>
      <vt:lpstr>GMIC_22A_SCDPT1!SCDPT1_001ENDINGG_6.01</vt:lpstr>
      <vt:lpstr>GMIC_22A_SCDPT1!SCDPT1_001ENDINGG_6.02</vt:lpstr>
      <vt:lpstr>GMIC_22A_SCDPT1!SCDPT1_001ENDINGG_6.03</vt:lpstr>
      <vt:lpstr>GMIC_22A_SCDPT1!SCDPT1_001ENDINGG_7</vt:lpstr>
      <vt:lpstr>GMIC_22A_SCDPT1!SCDPT1_001ENDINGG_8</vt:lpstr>
      <vt:lpstr>GMIC_22A_SCDPT1!SCDPT1_001ENDINGG_9</vt:lpstr>
      <vt:lpstr>GMIC_22A_SCDPT1!SCDPT1_0020000000_Range</vt:lpstr>
      <vt:lpstr>GMIC_22A_SCDPT1!SCDPT1_0029999999_10</vt:lpstr>
      <vt:lpstr>GMIC_22A_SCDPT1!SCDPT1_0029999999_11</vt:lpstr>
      <vt:lpstr>GMIC_22A_SCDPT1!SCDPT1_0029999999_12</vt:lpstr>
      <vt:lpstr>GMIC_22A_SCDPT1!SCDPT1_0029999999_13</vt:lpstr>
      <vt:lpstr>GMIC_22A_SCDPT1!SCDPT1_0029999999_14</vt:lpstr>
      <vt:lpstr>GMIC_22A_SCDPT1!SCDPT1_0029999999_15</vt:lpstr>
      <vt:lpstr>GMIC_22A_SCDPT1!SCDPT1_0029999999_19</vt:lpstr>
      <vt:lpstr>GMIC_22A_SCDPT1!SCDPT1_0029999999_20</vt:lpstr>
      <vt:lpstr>GMIC_22A_SCDPT1!SCDPT1_0029999999_7</vt:lpstr>
      <vt:lpstr>GMIC_22A_SCDPT1!SCDPT1_0029999999_9</vt:lpstr>
      <vt:lpstr>GMIC_22A_SCDPT1!SCDPT1_002BEGINNG_1</vt:lpstr>
      <vt:lpstr>GMIC_22A_SCDPT1!SCDPT1_002BEGINNG_10</vt:lpstr>
      <vt:lpstr>GMIC_22A_SCDPT1!SCDPT1_002BEGINNG_11</vt:lpstr>
      <vt:lpstr>GMIC_22A_SCDPT1!SCDPT1_002BEGINNG_12</vt:lpstr>
      <vt:lpstr>GMIC_22A_SCDPT1!SCDPT1_002BEGINNG_13</vt:lpstr>
      <vt:lpstr>GMIC_22A_SCDPT1!SCDPT1_002BEGINNG_14</vt:lpstr>
      <vt:lpstr>GMIC_22A_SCDPT1!SCDPT1_002BEGINNG_15</vt:lpstr>
      <vt:lpstr>GMIC_22A_SCDPT1!SCDPT1_002BEGINNG_16</vt:lpstr>
      <vt:lpstr>GMIC_22A_SCDPT1!SCDPT1_002BEGINNG_17</vt:lpstr>
      <vt:lpstr>GMIC_22A_SCDPT1!SCDPT1_002BEGINNG_18</vt:lpstr>
      <vt:lpstr>GMIC_22A_SCDPT1!SCDPT1_002BEGINNG_19</vt:lpstr>
      <vt:lpstr>GMIC_22A_SCDPT1!SCDPT1_002BEGINNG_2</vt:lpstr>
      <vt:lpstr>GMIC_22A_SCDPT1!SCDPT1_002BEGINNG_20</vt:lpstr>
      <vt:lpstr>GMIC_22A_SCDPT1!SCDPT1_002BEGINNG_21</vt:lpstr>
      <vt:lpstr>GMIC_22A_SCDPT1!SCDPT1_002BEGINNG_22</vt:lpstr>
      <vt:lpstr>GMIC_22A_SCDPT1!SCDPT1_002BEGINNG_23</vt:lpstr>
      <vt:lpstr>GMIC_22A_SCDPT1!SCDPT1_002BEGINNG_24</vt:lpstr>
      <vt:lpstr>GMIC_22A_SCDPT1!SCDPT1_002BEGINNG_25</vt:lpstr>
      <vt:lpstr>GMIC_22A_SCDPT1!SCDPT1_002BEGINNG_26</vt:lpstr>
      <vt:lpstr>GMIC_22A_SCDPT1!SCDPT1_002BEGINNG_27</vt:lpstr>
      <vt:lpstr>GMIC_22A_SCDPT1!SCDPT1_002BEGINNG_28</vt:lpstr>
      <vt:lpstr>GMIC_22A_SCDPT1!SCDPT1_002BEGINNG_29</vt:lpstr>
      <vt:lpstr>GMIC_22A_SCDPT1!SCDPT1_002BEGINNG_3</vt:lpstr>
      <vt:lpstr>GMIC_22A_SCDPT1!SCDPT1_002BEGINNG_30</vt:lpstr>
      <vt:lpstr>GMIC_22A_SCDPT1!SCDPT1_002BEGINNG_31</vt:lpstr>
      <vt:lpstr>GMIC_22A_SCDPT1!SCDPT1_002BEGINNG_32</vt:lpstr>
      <vt:lpstr>GMIC_22A_SCDPT1!SCDPT1_002BEGINNG_33</vt:lpstr>
      <vt:lpstr>GMIC_22A_SCDPT1!SCDPT1_002BEGINNG_34</vt:lpstr>
      <vt:lpstr>GMIC_22A_SCDPT1!SCDPT1_002BEGINNG_35</vt:lpstr>
      <vt:lpstr>GMIC_22A_SCDPT1!SCDPT1_002BEGINNG_36</vt:lpstr>
      <vt:lpstr>GMIC_22A_SCDPT1!SCDPT1_002BEGINNG_4</vt:lpstr>
      <vt:lpstr>GMIC_22A_SCDPT1!SCDPT1_002BEGINNG_5</vt:lpstr>
      <vt:lpstr>GMIC_22A_SCDPT1!SCDPT1_002BEGINNG_6.01</vt:lpstr>
      <vt:lpstr>GMIC_22A_SCDPT1!SCDPT1_002BEGINNG_6.02</vt:lpstr>
      <vt:lpstr>GMIC_22A_SCDPT1!SCDPT1_002BEGINNG_6.03</vt:lpstr>
      <vt:lpstr>GMIC_22A_SCDPT1!SCDPT1_002BEGINNG_7</vt:lpstr>
      <vt:lpstr>GMIC_22A_SCDPT1!SCDPT1_002BEGINNG_8</vt:lpstr>
      <vt:lpstr>GMIC_22A_SCDPT1!SCDPT1_002BEGINNG_9</vt:lpstr>
      <vt:lpstr>GMIC_22A_SCDPT1!SCDPT1_002ENDINGG_10</vt:lpstr>
      <vt:lpstr>GMIC_22A_SCDPT1!SCDPT1_002ENDINGG_11</vt:lpstr>
      <vt:lpstr>GMIC_22A_SCDPT1!SCDPT1_002ENDINGG_12</vt:lpstr>
      <vt:lpstr>GMIC_22A_SCDPT1!SCDPT1_002ENDINGG_13</vt:lpstr>
      <vt:lpstr>GMIC_22A_SCDPT1!SCDPT1_002ENDINGG_14</vt:lpstr>
      <vt:lpstr>GMIC_22A_SCDPT1!SCDPT1_002ENDINGG_15</vt:lpstr>
      <vt:lpstr>GMIC_22A_SCDPT1!SCDPT1_002ENDINGG_16</vt:lpstr>
      <vt:lpstr>GMIC_22A_SCDPT1!SCDPT1_002ENDINGG_17</vt:lpstr>
      <vt:lpstr>GMIC_22A_SCDPT1!SCDPT1_002ENDINGG_18</vt:lpstr>
      <vt:lpstr>GMIC_22A_SCDPT1!SCDPT1_002ENDINGG_19</vt:lpstr>
      <vt:lpstr>GMIC_22A_SCDPT1!SCDPT1_002ENDINGG_2</vt:lpstr>
      <vt:lpstr>GMIC_22A_SCDPT1!SCDPT1_002ENDINGG_20</vt:lpstr>
      <vt:lpstr>GMIC_22A_SCDPT1!SCDPT1_002ENDINGG_21</vt:lpstr>
      <vt:lpstr>GMIC_22A_SCDPT1!SCDPT1_002ENDINGG_22</vt:lpstr>
      <vt:lpstr>GMIC_22A_SCDPT1!SCDPT1_002ENDINGG_23</vt:lpstr>
      <vt:lpstr>GMIC_22A_SCDPT1!SCDPT1_002ENDINGG_24</vt:lpstr>
      <vt:lpstr>GMIC_22A_SCDPT1!SCDPT1_002ENDINGG_25</vt:lpstr>
      <vt:lpstr>GMIC_22A_SCDPT1!SCDPT1_002ENDINGG_26</vt:lpstr>
      <vt:lpstr>GMIC_22A_SCDPT1!SCDPT1_002ENDINGG_27</vt:lpstr>
      <vt:lpstr>GMIC_22A_SCDPT1!SCDPT1_002ENDINGG_28</vt:lpstr>
      <vt:lpstr>GMIC_22A_SCDPT1!SCDPT1_002ENDINGG_29</vt:lpstr>
      <vt:lpstr>GMIC_22A_SCDPT1!SCDPT1_002ENDINGG_3</vt:lpstr>
      <vt:lpstr>GMIC_22A_SCDPT1!SCDPT1_002ENDINGG_30</vt:lpstr>
      <vt:lpstr>GMIC_22A_SCDPT1!SCDPT1_002ENDINGG_31</vt:lpstr>
      <vt:lpstr>GMIC_22A_SCDPT1!SCDPT1_002ENDINGG_32</vt:lpstr>
      <vt:lpstr>GMIC_22A_SCDPT1!SCDPT1_002ENDINGG_33</vt:lpstr>
      <vt:lpstr>GMIC_22A_SCDPT1!SCDPT1_002ENDINGG_34</vt:lpstr>
      <vt:lpstr>GMIC_22A_SCDPT1!SCDPT1_002ENDINGG_35</vt:lpstr>
      <vt:lpstr>GMIC_22A_SCDPT1!SCDPT1_002ENDINGG_36</vt:lpstr>
      <vt:lpstr>GMIC_22A_SCDPT1!SCDPT1_002ENDINGG_4</vt:lpstr>
      <vt:lpstr>GMIC_22A_SCDPT1!SCDPT1_002ENDINGG_5</vt:lpstr>
      <vt:lpstr>GMIC_22A_SCDPT1!SCDPT1_002ENDINGG_6.01</vt:lpstr>
      <vt:lpstr>GMIC_22A_SCDPT1!SCDPT1_002ENDINGG_6.02</vt:lpstr>
      <vt:lpstr>GMIC_22A_SCDPT1!SCDPT1_002ENDINGG_6.03</vt:lpstr>
      <vt:lpstr>GMIC_22A_SCDPT1!SCDPT1_002ENDINGG_7</vt:lpstr>
      <vt:lpstr>GMIC_22A_SCDPT1!SCDPT1_002ENDINGG_8</vt:lpstr>
      <vt:lpstr>GMIC_22A_SCDPT1!SCDPT1_002ENDINGG_9</vt:lpstr>
      <vt:lpstr>GMIC_22A_SCDPT1!SCDPT1_0030000000_Range</vt:lpstr>
      <vt:lpstr>GMIC_22A_SCDPT1!SCDPT1_0039999999_10</vt:lpstr>
      <vt:lpstr>GMIC_22A_SCDPT1!SCDPT1_0039999999_11</vt:lpstr>
      <vt:lpstr>GMIC_22A_SCDPT1!SCDPT1_0039999999_12</vt:lpstr>
      <vt:lpstr>GMIC_22A_SCDPT1!SCDPT1_0039999999_13</vt:lpstr>
      <vt:lpstr>GMIC_22A_SCDPT1!SCDPT1_0039999999_14</vt:lpstr>
      <vt:lpstr>GMIC_22A_SCDPT1!SCDPT1_0039999999_15</vt:lpstr>
      <vt:lpstr>GMIC_22A_SCDPT1!SCDPT1_0039999999_19</vt:lpstr>
      <vt:lpstr>GMIC_22A_SCDPT1!SCDPT1_0039999999_20</vt:lpstr>
      <vt:lpstr>GMIC_22A_SCDPT1!SCDPT1_0039999999_7</vt:lpstr>
      <vt:lpstr>GMIC_22A_SCDPT1!SCDPT1_0039999999_9</vt:lpstr>
      <vt:lpstr>GMIC_22A_SCDPT1!SCDPT1_003BEGINNG_1</vt:lpstr>
      <vt:lpstr>GMIC_22A_SCDPT1!SCDPT1_003BEGINNG_10</vt:lpstr>
      <vt:lpstr>GMIC_22A_SCDPT1!SCDPT1_003BEGINNG_11</vt:lpstr>
      <vt:lpstr>GMIC_22A_SCDPT1!SCDPT1_003BEGINNG_12</vt:lpstr>
      <vt:lpstr>GMIC_22A_SCDPT1!SCDPT1_003BEGINNG_13</vt:lpstr>
      <vt:lpstr>GMIC_22A_SCDPT1!SCDPT1_003BEGINNG_14</vt:lpstr>
      <vt:lpstr>GMIC_22A_SCDPT1!SCDPT1_003BEGINNG_15</vt:lpstr>
      <vt:lpstr>GMIC_22A_SCDPT1!SCDPT1_003BEGINNG_16</vt:lpstr>
      <vt:lpstr>GMIC_22A_SCDPT1!SCDPT1_003BEGINNG_17</vt:lpstr>
      <vt:lpstr>GMIC_22A_SCDPT1!SCDPT1_003BEGINNG_18</vt:lpstr>
      <vt:lpstr>GMIC_22A_SCDPT1!SCDPT1_003BEGINNG_19</vt:lpstr>
      <vt:lpstr>GMIC_22A_SCDPT1!SCDPT1_003BEGINNG_2</vt:lpstr>
      <vt:lpstr>GMIC_22A_SCDPT1!SCDPT1_003BEGINNG_20</vt:lpstr>
      <vt:lpstr>GMIC_22A_SCDPT1!SCDPT1_003BEGINNG_21</vt:lpstr>
      <vt:lpstr>GMIC_22A_SCDPT1!SCDPT1_003BEGINNG_22</vt:lpstr>
      <vt:lpstr>GMIC_22A_SCDPT1!SCDPT1_003BEGINNG_23</vt:lpstr>
      <vt:lpstr>GMIC_22A_SCDPT1!SCDPT1_003BEGINNG_24</vt:lpstr>
      <vt:lpstr>GMIC_22A_SCDPT1!SCDPT1_003BEGINNG_25</vt:lpstr>
      <vt:lpstr>GMIC_22A_SCDPT1!SCDPT1_003BEGINNG_26</vt:lpstr>
      <vt:lpstr>GMIC_22A_SCDPT1!SCDPT1_003BEGINNG_27</vt:lpstr>
      <vt:lpstr>GMIC_22A_SCDPT1!SCDPT1_003BEGINNG_28</vt:lpstr>
      <vt:lpstr>GMIC_22A_SCDPT1!SCDPT1_003BEGINNG_29</vt:lpstr>
      <vt:lpstr>GMIC_22A_SCDPT1!SCDPT1_003BEGINNG_3</vt:lpstr>
      <vt:lpstr>GMIC_22A_SCDPT1!SCDPT1_003BEGINNG_30</vt:lpstr>
      <vt:lpstr>GMIC_22A_SCDPT1!SCDPT1_003BEGINNG_31</vt:lpstr>
      <vt:lpstr>GMIC_22A_SCDPT1!SCDPT1_003BEGINNG_32</vt:lpstr>
      <vt:lpstr>GMIC_22A_SCDPT1!SCDPT1_003BEGINNG_33</vt:lpstr>
      <vt:lpstr>GMIC_22A_SCDPT1!SCDPT1_003BEGINNG_34</vt:lpstr>
      <vt:lpstr>GMIC_22A_SCDPT1!SCDPT1_003BEGINNG_35</vt:lpstr>
      <vt:lpstr>GMIC_22A_SCDPT1!SCDPT1_003BEGINNG_36</vt:lpstr>
      <vt:lpstr>GMIC_22A_SCDPT1!SCDPT1_003BEGINNG_4</vt:lpstr>
      <vt:lpstr>GMIC_22A_SCDPT1!SCDPT1_003BEGINNG_5</vt:lpstr>
      <vt:lpstr>GMIC_22A_SCDPT1!SCDPT1_003BEGINNG_6.01</vt:lpstr>
      <vt:lpstr>GMIC_22A_SCDPT1!SCDPT1_003BEGINNG_6.02</vt:lpstr>
      <vt:lpstr>GMIC_22A_SCDPT1!SCDPT1_003BEGINNG_6.03</vt:lpstr>
      <vt:lpstr>GMIC_22A_SCDPT1!SCDPT1_003BEGINNG_7</vt:lpstr>
      <vt:lpstr>GMIC_22A_SCDPT1!SCDPT1_003BEGINNG_8</vt:lpstr>
      <vt:lpstr>GMIC_22A_SCDPT1!SCDPT1_003BEGINNG_9</vt:lpstr>
      <vt:lpstr>GMIC_22A_SCDPT1!SCDPT1_003ENDINGG_10</vt:lpstr>
      <vt:lpstr>GMIC_22A_SCDPT1!SCDPT1_003ENDINGG_11</vt:lpstr>
      <vt:lpstr>GMIC_22A_SCDPT1!SCDPT1_003ENDINGG_12</vt:lpstr>
      <vt:lpstr>GMIC_22A_SCDPT1!SCDPT1_003ENDINGG_13</vt:lpstr>
      <vt:lpstr>GMIC_22A_SCDPT1!SCDPT1_003ENDINGG_14</vt:lpstr>
      <vt:lpstr>GMIC_22A_SCDPT1!SCDPT1_003ENDINGG_15</vt:lpstr>
      <vt:lpstr>GMIC_22A_SCDPT1!SCDPT1_003ENDINGG_16</vt:lpstr>
      <vt:lpstr>GMIC_22A_SCDPT1!SCDPT1_003ENDINGG_17</vt:lpstr>
      <vt:lpstr>GMIC_22A_SCDPT1!SCDPT1_003ENDINGG_18</vt:lpstr>
      <vt:lpstr>GMIC_22A_SCDPT1!SCDPT1_003ENDINGG_19</vt:lpstr>
      <vt:lpstr>GMIC_22A_SCDPT1!SCDPT1_003ENDINGG_2</vt:lpstr>
      <vt:lpstr>GMIC_22A_SCDPT1!SCDPT1_003ENDINGG_20</vt:lpstr>
      <vt:lpstr>GMIC_22A_SCDPT1!SCDPT1_003ENDINGG_21</vt:lpstr>
      <vt:lpstr>GMIC_22A_SCDPT1!SCDPT1_003ENDINGG_22</vt:lpstr>
      <vt:lpstr>GMIC_22A_SCDPT1!SCDPT1_003ENDINGG_23</vt:lpstr>
      <vt:lpstr>GMIC_22A_SCDPT1!SCDPT1_003ENDINGG_24</vt:lpstr>
      <vt:lpstr>GMIC_22A_SCDPT1!SCDPT1_003ENDINGG_25</vt:lpstr>
      <vt:lpstr>GMIC_22A_SCDPT1!SCDPT1_003ENDINGG_26</vt:lpstr>
      <vt:lpstr>GMIC_22A_SCDPT1!SCDPT1_003ENDINGG_27</vt:lpstr>
      <vt:lpstr>GMIC_22A_SCDPT1!SCDPT1_003ENDINGG_28</vt:lpstr>
      <vt:lpstr>GMIC_22A_SCDPT1!SCDPT1_003ENDINGG_29</vt:lpstr>
      <vt:lpstr>GMIC_22A_SCDPT1!SCDPT1_003ENDINGG_3</vt:lpstr>
      <vt:lpstr>GMIC_22A_SCDPT1!SCDPT1_003ENDINGG_30</vt:lpstr>
      <vt:lpstr>GMIC_22A_SCDPT1!SCDPT1_003ENDINGG_31</vt:lpstr>
      <vt:lpstr>GMIC_22A_SCDPT1!SCDPT1_003ENDINGG_32</vt:lpstr>
      <vt:lpstr>GMIC_22A_SCDPT1!SCDPT1_003ENDINGG_33</vt:lpstr>
      <vt:lpstr>GMIC_22A_SCDPT1!SCDPT1_003ENDINGG_34</vt:lpstr>
      <vt:lpstr>GMIC_22A_SCDPT1!SCDPT1_003ENDINGG_35</vt:lpstr>
      <vt:lpstr>GMIC_22A_SCDPT1!SCDPT1_003ENDINGG_36</vt:lpstr>
      <vt:lpstr>GMIC_22A_SCDPT1!SCDPT1_003ENDINGG_4</vt:lpstr>
      <vt:lpstr>GMIC_22A_SCDPT1!SCDPT1_003ENDINGG_5</vt:lpstr>
      <vt:lpstr>GMIC_22A_SCDPT1!SCDPT1_003ENDINGG_6.01</vt:lpstr>
      <vt:lpstr>GMIC_22A_SCDPT1!SCDPT1_003ENDINGG_6.02</vt:lpstr>
      <vt:lpstr>GMIC_22A_SCDPT1!SCDPT1_003ENDINGG_6.03</vt:lpstr>
      <vt:lpstr>GMIC_22A_SCDPT1!SCDPT1_003ENDINGG_7</vt:lpstr>
      <vt:lpstr>GMIC_22A_SCDPT1!SCDPT1_003ENDINGG_8</vt:lpstr>
      <vt:lpstr>GMIC_22A_SCDPT1!SCDPT1_003ENDINGG_9</vt:lpstr>
      <vt:lpstr>GMIC_22A_SCDPT1!SCDPT1_0040000000_Range</vt:lpstr>
      <vt:lpstr>GMIC_22A_SCDPT1!SCDPT1_0049999999_10</vt:lpstr>
      <vt:lpstr>GMIC_22A_SCDPT1!SCDPT1_0049999999_11</vt:lpstr>
      <vt:lpstr>GMIC_22A_SCDPT1!SCDPT1_0049999999_12</vt:lpstr>
      <vt:lpstr>GMIC_22A_SCDPT1!SCDPT1_0049999999_13</vt:lpstr>
      <vt:lpstr>GMIC_22A_SCDPT1!SCDPT1_0049999999_14</vt:lpstr>
      <vt:lpstr>GMIC_22A_SCDPT1!SCDPT1_0049999999_15</vt:lpstr>
      <vt:lpstr>GMIC_22A_SCDPT1!SCDPT1_0049999999_19</vt:lpstr>
      <vt:lpstr>GMIC_22A_SCDPT1!SCDPT1_0049999999_20</vt:lpstr>
      <vt:lpstr>GMIC_22A_SCDPT1!SCDPT1_0049999999_7</vt:lpstr>
      <vt:lpstr>GMIC_22A_SCDPT1!SCDPT1_0049999999_9</vt:lpstr>
      <vt:lpstr>GMIC_22A_SCDPT1!SCDPT1_004BEGINNG_1</vt:lpstr>
      <vt:lpstr>GMIC_22A_SCDPT1!SCDPT1_004BEGINNG_10</vt:lpstr>
      <vt:lpstr>GMIC_22A_SCDPT1!SCDPT1_004BEGINNG_11</vt:lpstr>
      <vt:lpstr>GMIC_22A_SCDPT1!SCDPT1_004BEGINNG_12</vt:lpstr>
      <vt:lpstr>GMIC_22A_SCDPT1!SCDPT1_004BEGINNG_13</vt:lpstr>
      <vt:lpstr>GMIC_22A_SCDPT1!SCDPT1_004BEGINNG_14</vt:lpstr>
      <vt:lpstr>GMIC_22A_SCDPT1!SCDPT1_004BEGINNG_15</vt:lpstr>
      <vt:lpstr>GMIC_22A_SCDPT1!SCDPT1_004BEGINNG_16</vt:lpstr>
      <vt:lpstr>GMIC_22A_SCDPT1!SCDPT1_004BEGINNG_17</vt:lpstr>
      <vt:lpstr>GMIC_22A_SCDPT1!SCDPT1_004BEGINNG_18</vt:lpstr>
      <vt:lpstr>GMIC_22A_SCDPT1!SCDPT1_004BEGINNG_19</vt:lpstr>
      <vt:lpstr>GMIC_22A_SCDPT1!SCDPT1_004BEGINNG_2</vt:lpstr>
      <vt:lpstr>GMIC_22A_SCDPT1!SCDPT1_004BEGINNG_20</vt:lpstr>
      <vt:lpstr>GMIC_22A_SCDPT1!SCDPT1_004BEGINNG_21</vt:lpstr>
      <vt:lpstr>GMIC_22A_SCDPT1!SCDPT1_004BEGINNG_22</vt:lpstr>
      <vt:lpstr>GMIC_22A_SCDPT1!SCDPT1_004BEGINNG_23</vt:lpstr>
      <vt:lpstr>GMIC_22A_SCDPT1!SCDPT1_004BEGINNG_24</vt:lpstr>
      <vt:lpstr>GMIC_22A_SCDPT1!SCDPT1_004BEGINNG_25</vt:lpstr>
      <vt:lpstr>GMIC_22A_SCDPT1!SCDPT1_004BEGINNG_26</vt:lpstr>
      <vt:lpstr>GMIC_22A_SCDPT1!SCDPT1_004BEGINNG_27</vt:lpstr>
      <vt:lpstr>GMIC_22A_SCDPT1!SCDPT1_004BEGINNG_28</vt:lpstr>
      <vt:lpstr>GMIC_22A_SCDPT1!SCDPT1_004BEGINNG_29</vt:lpstr>
      <vt:lpstr>GMIC_22A_SCDPT1!SCDPT1_004BEGINNG_3</vt:lpstr>
      <vt:lpstr>GMIC_22A_SCDPT1!SCDPT1_004BEGINNG_30</vt:lpstr>
      <vt:lpstr>GMIC_22A_SCDPT1!SCDPT1_004BEGINNG_31</vt:lpstr>
      <vt:lpstr>GMIC_22A_SCDPT1!SCDPT1_004BEGINNG_32</vt:lpstr>
      <vt:lpstr>GMIC_22A_SCDPT1!SCDPT1_004BEGINNG_33</vt:lpstr>
      <vt:lpstr>GMIC_22A_SCDPT1!SCDPT1_004BEGINNG_34</vt:lpstr>
      <vt:lpstr>GMIC_22A_SCDPT1!SCDPT1_004BEGINNG_35</vt:lpstr>
      <vt:lpstr>GMIC_22A_SCDPT1!SCDPT1_004BEGINNG_36</vt:lpstr>
      <vt:lpstr>GMIC_22A_SCDPT1!SCDPT1_004BEGINNG_4</vt:lpstr>
      <vt:lpstr>GMIC_22A_SCDPT1!SCDPT1_004BEGINNG_5</vt:lpstr>
      <vt:lpstr>GMIC_22A_SCDPT1!SCDPT1_004BEGINNG_6.01</vt:lpstr>
      <vt:lpstr>GMIC_22A_SCDPT1!SCDPT1_004BEGINNG_6.02</vt:lpstr>
      <vt:lpstr>GMIC_22A_SCDPT1!SCDPT1_004BEGINNG_6.03</vt:lpstr>
      <vt:lpstr>GMIC_22A_SCDPT1!SCDPT1_004BEGINNG_7</vt:lpstr>
      <vt:lpstr>GMIC_22A_SCDPT1!SCDPT1_004BEGINNG_8</vt:lpstr>
      <vt:lpstr>GMIC_22A_SCDPT1!SCDPT1_004BEGINNG_9</vt:lpstr>
      <vt:lpstr>GMIC_22A_SCDPT1!SCDPT1_004ENDINGG_10</vt:lpstr>
      <vt:lpstr>GMIC_22A_SCDPT1!SCDPT1_004ENDINGG_11</vt:lpstr>
      <vt:lpstr>GMIC_22A_SCDPT1!SCDPT1_004ENDINGG_12</vt:lpstr>
      <vt:lpstr>GMIC_22A_SCDPT1!SCDPT1_004ENDINGG_13</vt:lpstr>
      <vt:lpstr>GMIC_22A_SCDPT1!SCDPT1_004ENDINGG_14</vt:lpstr>
      <vt:lpstr>GMIC_22A_SCDPT1!SCDPT1_004ENDINGG_15</vt:lpstr>
      <vt:lpstr>GMIC_22A_SCDPT1!SCDPT1_004ENDINGG_16</vt:lpstr>
      <vt:lpstr>GMIC_22A_SCDPT1!SCDPT1_004ENDINGG_17</vt:lpstr>
      <vt:lpstr>GMIC_22A_SCDPT1!SCDPT1_004ENDINGG_18</vt:lpstr>
      <vt:lpstr>GMIC_22A_SCDPT1!SCDPT1_004ENDINGG_19</vt:lpstr>
      <vt:lpstr>GMIC_22A_SCDPT1!SCDPT1_004ENDINGG_2</vt:lpstr>
      <vt:lpstr>GMIC_22A_SCDPT1!SCDPT1_004ENDINGG_20</vt:lpstr>
      <vt:lpstr>GMIC_22A_SCDPT1!SCDPT1_004ENDINGG_21</vt:lpstr>
      <vt:lpstr>GMIC_22A_SCDPT1!SCDPT1_004ENDINGG_22</vt:lpstr>
      <vt:lpstr>GMIC_22A_SCDPT1!SCDPT1_004ENDINGG_23</vt:lpstr>
      <vt:lpstr>GMIC_22A_SCDPT1!SCDPT1_004ENDINGG_24</vt:lpstr>
      <vt:lpstr>GMIC_22A_SCDPT1!SCDPT1_004ENDINGG_25</vt:lpstr>
      <vt:lpstr>GMIC_22A_SCDPT1!SCDPT1_004ENDINGG_26</vt:lpstr>
      <vt:lpstr>GMIC_22A_SCDPT1!SCDPT1_004ENDINGG_27</vt:lpstr>
      <vt:lpstr>GMIC_22A_SCDPT1!SCDPT1_004ENDINGG_28</vt:lpstr>
      <vt:lpstr>GMIC_22A_SCDPT1!SCDPT1_004ENDINGG_29</vt:lpstr>
      <vt:lpstr>GMIC_22A_SCDPT1!SCDPT1_004ENDINGG_3</vt:lpstr>
      <vt:lpstr>GMIC_22A_SCDPT1!SCDPT1_004ENDINGG_30</vt:lpstr>
      <vt:lpstr>GMIC_22A_SCDPT1!SCDPT1_004ENDINGG_31</vt:lpstr>
      <vt:lpstr>GMIC_22A_SCDPT1!SCDPT1_004ENDINGG_32</vt:lpstr>
      <vt:lpstr>GMIC_22A_SCDPT1!SCDPT1_004ENDINGG_33</vt:lpstr>
      <vt:lpstr>GMIC_22A_SCDPT1!SCDPT1_004ENDINGG_34</vt:lpstr>
      <vt:lpstr>GMIC_22A_SCDPT1!SCDPT1_004ENDINGG_35</vt:lpstr>
      <vt:lpstr>GMIC_22A_SCDPT1!SCDPT1_004ENDINGG_36</vt:lpstr>
      <vt:lpstr>GMIC_22A_SCDPT1!SCDPT1_004ENDINGG_4</vt:lpstr>
      <vt:lpstr>GMIC_22A_SCDPT1!SCDPT1_004ENDINGG_5</vt:lpstr>
      <vt:lpstr>GMIC_22A_SCDPT1!SCDPT1_004ENDINGG_6.01</vt:lpstr>
      <vt:lpstr>GMIC_22A_SCDPT1!SCDPT1_004ENDINGG_6.02</vt:lpstr>
      <vt:lpstr>GMIC_22A_SCDPT1!SCDPT1_004ENDINGG_6.03</vt:lpstr>
      <vt:lpstr>GMIC_22A_SCDPT1!SCDPT1_004ENDINGG_7</vt:lpstr>
      <vt:lpstr>GMIC_22A_SCDPT1!SCDPT1_004ENDINGG_8</vt:lpstr>
      <vt:lpstr>GMIC_22A_SCDPT1!SCDPT1_004ENDINGG_9</vt:lpstr>
      <vt:lpstr>GMIC_22A_SCDPT1!SCDPT1_0109999999_10</vt:lpstr>
      <vt:lpstr>GMIC_22A_SCDPT1!SCDPT1_0109999999_11</vt:lpstr>
      <vt:lpstr>GMIC_22A_SCDPT1!SCDPT1_0109999999_12</vt:lpstr>
      <vt:lpstr>GMIC_22A_SCDPT1!SCDPT1_0109999999_13</vt:lpstr>
      <vt:lpstr>GMIC_22A_SCDPT1!SCDPT1_0109999999_14</vt:lpstr>
      <vt:lpstr>GMIC_22A_SCDPT1!SCDPT1_0109999999_15</vt:lpstr>
      <vt:lpstr>GMIC_22A_SCDPT1!SCDPT1_0109999999_19</vt:lpstr>
      <vt:lpstr>GMIC_22A_SCDPT1!SCDPT1_0109999999_20</vt:lpstr>
      <vt:lpstr>GMIC_22A_SCDPT1!SCDPT1_0109999999_7</vt:lpstr>
      <vt:lpstr>GMIC_22A_SCDPT1!SCDPT1_0109999999_9</vt:lpstr>
      <vt:lpstr>GMIC_22A_SCDPT1!SCDPT1_0210000000_Range</vt:lpstr>
      <vt:lpstr>GMIC_22A_SCDPT1!SCDPT1_0219999999_10</vt:lpstr>
      <vt:lpstr>GMIC_22A_SCDPT1!SCDPT1_0219999999_11</vt:lpstr>
      <vt:lpstr>GMIC_22A_SCDPT1!SCDPT1_0219999999_12</vt:lpstr>
      <vt:lpstr>GMIC_22A_SCDPT1!SCDPT1_0219999999_13</vt:lpstr>
      <vt:lpstr>GMIC_22A_SCDPT1!SCDPT1_0219999999_14</vt:lpstr>
      <vt:lpstr>GMIC_22A_SCDPT1!SCDPT1_0219999999_15</vt:lpstr>
      <vt:lpstr>GMIC_22A_SCDPT1!SCDPT1_0219999999_19</vt:lpstr>
      <vt:lpstr>GMIC_22A_SCDPT1!SCDPT1_0219999999_20</vt:lpstr>
      <vt:lpstr>GMIC_22A_SCDPT1!SCDPT1_0219999999_7</vt:lpstr>
      <vt:lpstr>GMIC_22A_SCDPT1!SCDPT1_0219999999_9</vt:lpstr>
      <vt:lpstr>GMIC_22A_SCDPT1!SCDPT1_021BEGINNG_1</vt:lpstr>
      <vt:lpstr>GMIC_22A_SCDPT1!SCDPT1_021BEGINNG_10</vt:lpstr>
      <vt:lpstr>GMIC_22A_SCDPT1!SCDPT1_021BEGINNG_11</vt:lpstr>
      <vt:lpstr>GMIC_22A_SCDPT1!SCDPT1_021BEGINNG_12</vt:lpstr>
      <vt:lpstr>GMIC_22A_SCDPT1!SCDPT1_021BEGINNG_13</vt:lpstr>
      <vt:lpstr>GMIC_22A_SCDPT1!SCDPT1_021BEGINNG_14</vt:lpstr>
      <vt:lpstr>GMIC_22A_SCDPT1!SCDPT1_021BEGINNG_15</vt:lpstr>
      <vt:lpstr>GMIC_22A_SCDPT1!SCDPT1_021BEGINNG_16</vt:lpstr>
      <vt:lpstr>GMIC_22A_SCDPT1!SCDPT1_021BEGINNG_17</vt:lpstr>
      <vt:lpstr>GMIC_22A_SCDPT1!SCDPT1_021BEGINNG_18</vt:lpstr>
      <vt:lpstr>GMIC_22A_SCDPT1!SCDPT1_021BEGINNG_19</vt:lpstr>
      <vt:lpstr>GMIC_22A_SCDPT1!SCDPT1_021BEGINNG_2</vt:lpstr>
      <vt:lpstr>GMIC_22A_SCDPT1!SCDPT1_021BEGINNG_20</vt:lpstr>
      <vt:lpstr>GMIC_22A_SCDPT1!SCDPT1_021BEGINNG_21</vt:lpstr>
      <vt:lpstr>GMIC_22A_SCDPT1!SCDPT1_021BEGINNG_22</vt:lpstr>
      <vt:lpstr>GMIC_22A_SCDPT1!SCDPT1_021BEGINNG_23</vt:lpstr>
      <vt:lpstr>GMIC_22A_SCDPT1!SCDPT1_021BEGINNG_24</vt:lpstr>
      <vt:lpstr>GMIC_22A_SCDPT1!SCDPT1_021BEGINNG_25</vt:lpstr>
      <vt:lpstr>GMIC_22A_SCDPT1!SCDPT1_021BEGINNG_26</vt:lpstr>
      <vt:lpstr>GMIC_22A_SCDPT1!SCDPT1_021BEGINNG_27</vt:lpstr>
      <vt:lpstr>GMIC_22A_SCDPT1!SCDPT1_021BEGINNG_28</vt:lpstr>
      <vt:lpstr>GMIC_22A_SCDPT1!SCDPT1_021BEGINNG_29</vt:lpstr>
      <vt:lpstr>GMIC_22A_SCDPT1!SCDPT1_021BEGINNG_3</vt:lpstr>
      <vt:lpstr>GMIC_22A_SCDPT1!SCDPT1_021BEGINNG_30</vt:lpstr>
      <vt:lpstr>GMIC_22A_SCDPT1!SCDPT1_021BEGINNG_31</vt:lpstr>
      <vt:lpstr>GMIC_22A_SCDPT1!SCDPT1_021BEGINNG_32</vt:lpstr>
      <vt:lpstr>GMIC_22A_SCDPT1!SCDPT1_021BEGINNG_33</vt:lpstr>
      <vt:lpstr>GMIC_22A_SCDPT1!SCDPT1_021BEGINNG_34</vt:lpstr>
      <vt:lpstr>GMIC_22A_SCDPT1!SCDPT1_021BEGINNG_35</vt:lpstr>
      <vt:lpstr>GMIC_22A_SCDPT1!SCDPT1_021BEGINNG_36</vt:lpstr>
      <vt:lpstr>GMIC_22A_SCDPT1!SCDPT1_021BEGINNG_4</vt:lpstr>
      <vt:lpstr>GMIC_22A_SCDPT1!SCDPT1_021BEGINNG_5</vt:lpstr>
      <vt:lpstr>GMIC_22A_SCDPT1!SCDPT1_021BEGINNG_6.01</vt:lpstr>
      <vt:lpstr>GMIC_22A_SCDPT1!SCDPT1_021BEGINNG_6.02</vt:lpstr>
      <vt:lpstr>GMIC_22A_SCDPT1!SCDPT1_021BEGINNG_6.03</vt:lpstr>
      <vt:lpstr>GMIC_22A_SCDPT1!SCDPT1_021BEGINNG_7</vt:lpstr>
      <vt:lpstr>GMIC_22A_SCDPT1!SCDPT1_021BEGINNG_8</vt:lpstr>
      <vt:lpstr>GMIC_22A_SCDPT1!SCDPT1_021BEGINNG_9</vt:lpstr>
      <vt:lpstr>GMIC_22A_SCDPT1!SCDPT1_021ENDINGG_10</vt:lpstr>
      <vt:lpstr>GMIC_22A_SCDPT1!SCDPT1_021ENDINGG_11</vt:lpstr>
      <vt:lpstr>GMIC_22A_SCDPT1!SCDPT1_021ENDINGG_12</vt:lpstr>
      <vt:lpstr>GMIC_22A_SCDPT1!SCDPT1_021ENDINGG_13</vt:lpstr>
      <vt:lpstr>GMIC_22A_SCDPT1!SCDPT1_021ENDINGG_14</vt:lpstr>
      <vt:lpstr>GMIC_22A_SCDPT1!SCDPT1_021ENDINGG_15</vt:lpstr>
      <vt:lpstr>GMIC_22A_SCDPT1!SCDPT1_021ENDINGG_16</vt:lpstr>
      <vt:lpstr>GMIC_22A_SCDPT1!SCDPT1_021ENDINGG_17</vt:lpstr>
      <vt:lpstr>GMIC_22A_SCDPT1!SCDPT1_021ENDINGG_18</vt:lpstr>
      <vt:lpstr>GMIC_22A_SCDPT1!SCDPT1_021ENDINGG_19</vt:lpstr>
      <vt:lpstr>GMIC_22A_SCDPT1!SCDPT1_021ENDINGG_2</vt:lpstr>
      <vt:lpstr>GMIC_22A_SCDPT1!SCDPT1_021ENDINGG_20</vt:lpstr>
      <vt:lpstr>GMIC_22A_SCDPT1!SCDPT1_021ENDINGG_21</vt:lpstr>
      <vt:lpstr>GMIC_22A_SCDPT1!SCDPT1_021ENDINGG_22</vt:lpstr>
      <vt:lpstr>GMIC_22A_SCDPT1!SCDPT1_021ENDINGG_23</vt:lpstr>
      <vt:lpstr>GMIC_22A_SCDPT1!SCDPT1_021ENDINGG_24</vt:lpstr>
      <vt:lpstr>GMIC_22A_SCDPT1!SCDPT1_021ENDINGG_25</vt:lpstr>
      <vt:lpstr>GMIC_22A_SCDPT1!SCDPT1_021ENDINGG_26</vt:lpstr>
      <vt:lpstr>GMIC_22A_SCDPT1!SCDPT1_021ENDINGG_27</vt:lpstr>
      <vt:lpstr>GMIC_22A_SCDPT1!SCDPT1_021ENDINGG_28</vt:lpstr>
      <vt:lpstr>GMIC_22A_SCDPT1!SCDPT1_021ENDINGG_29</vt:lpstr>
      <vt:lpstr>GMIC_22A_SCDPT1!SCDPT1_021ENDINGG_3</vt:lpstr>
      <vt:lpstr>GMIC_22A_SCDPT1!SCDPT1_021ENDINGG_30</vt:lpstr>
      <vt:lpstr>GMIC_22A_SCDPT1!SCDPT1_021ENDINGG_31</vt:lpstr>
      <vt:lpstr>GMIC_22A_SCDPT1!SCDPT1_021ENDINGG_32</vt:lpstr>
      <vt:lpstr>GMIC_22A_SCDPT1!SCDPT1_021ENDINGG_33</vt:lpstr>
      <vt:lpstr>GMIC_22A_SCDPT1!SCDPT1_021ENDINGG_34</vt:lpstr>
      <vt:lpstr>GMIC_22A_SCDPT1!SCDPT1_021ENDINGG_35</vt:lpstr>
      <vt:lpstr>GMIC_22A_SCDPT1!SCDPT1_021ENDINGG_36</vt:lpstr>
      <vt:lpstr>GMIC_22A_SCDPT1!SCDPT1_021ENDINGG_4</vt:lpstr>
      <vt:lpstr>GMIC_22A_SCDPT1!SCDPT1_021ENDINGG_5</vt:lpstr>
      <vt:lpstr>GMIC_22A_SCDPT1!SCDPT1_021ENDINGG_6.01</vt:lpstr>
      <vt:lpstr>GMIC_22A_SCDPT1!SCDPT1_021ENDINGG_6.02</vt:lpstr>
      <vt:lpstr>GMIC_22A_SCDPT1!SCDPT1_021ENDINGG_6.03</vt:lpstr>
      <vt:lpstr>GMIC_22A_SCDPT1!SCDPT1_021ENDINGG_7</vt:lpstr>
      <vt:lpstr>GMIC_22A_SCDPT1!SCDPT1_021ENDINGG_8</vt:lpstr>
      <vt:lpstr>GMIC_22A_SCDPT1!SCDPT1_021ENDINGG_9</vt:lpstr>
      <vt:lpstr>GMIC_22A_SCDPT1!SCDPT1_0220000000_Range</vt:lpstr>
      <vt:lpstr>GMIC_22A_SCDPT1!SCDPT1_0229999999_10</vt:lpstr>
      <vt:lpstr>GMIC_22A_SCDPT1!SCDPT1_0229999999_11</vt:lpstr>
      <vt:lpstr>GMIC_22A_SCDPT1!SCDPT1_0229999999_12</vt:lpstr>
      <vt:lpstr>GMIC_22A_SCDPT1!SCDPT1_0229999999_13</vt:lpstr>
      <vt:lpstr>GMIC_22A_SCDPT1!SCDPT1_0229999999_14</vt:lpstr>
      <vt:lpstr>GMIC_22A_SCDPT1!SCDPT1_0229999999_15</vt:lpstr>
      <vt:lpstr>GMIC_22A_SCDPT1!SCDPT1_0229999999_19</vt:lpstr>
      <vt:lpstr>GMIC_22A_SCDPT1!SCDPT1_0229999999_20</vt:lpstr>
      <vt:lpstr>GMIC_22A_SCDPT1!SCDPT1_0229999999_7</vt:lpstr>
      <vt:lpstr>GMIC_22A_SCDPT1!SCDPT1_0229999999_9</vt:lpstr>
      <vt:lpstr>GMIC_22A_SCDPT1!SCDPT1_022BEGINNG_1</vt:lpstr>
      <vt:lpstr>GMIC_22A_SCDPT1!SCDPT1_022BEGINNG_10</vt:lpstr>
      <vt:lpstr>GMIC_22A_SCDPT1!SCDPT1_022BEGINNG_11</vt:lpstr>
      <vt:lpstr>GMIC_22A_SCDPT1!SCDPT1_022BEGINNG_12</vt:lpstr>
      <vt:lpstr>GMIC_22A_SCDPT1!SCDPT1_022BEGINNG_13</vt:lpstr>
      <vt:lpstr>GMIC_22A_SCDPT1!SCDPT1_022BEGINNG_14</vt:lpstr>
      <vt:lpstr>GMIC_22A_SCDPT1!SCDPT1_022BEGINNG_15</vt:lpstr>
      <vt:lpstr>GMIC_22A_SCDPT1!SCDPT1_022BEGINNG_16</vt:lpstr>
      <vt:lpstr>GMIC_22A_SCDPT1!SCDPT1_022BEGINNG_17</vt:lpstr>
      <vt:lpstr>GMIC_22A_SCDPT1!SCDPT1_022BEGINNG_18</vt:lpstr>
      <vt:lpstr>GMIC_22A_SCDPT1!SCDPT1_022BEGINNG_19</vt:lpstr>
      <vt:lpstr>GMIC_22A_SCDPT1!SCDPT1_022BEGINNG_2</vt:lpstr>
      <vt:lpstr>GMIC_22A_SCDPT1!SCDPT1_022BEGINNG_20</vt:lpstr>
      <vt:lpstr>GMIC_22A_SCDPT1!SCDPT1_022BEGINNG_21</vt:lpstr>
      <vt:lpstr>GMIC_22A_SCDPT1!SCDPT1_022BEGINNG_22</vt:lpstr>
      <vt:lpstr>GMIC_22A_SCDPT1!SCDPT1_022BEGINNG_23</vt:lpstr>
      <vt:lpstr>GMIC_22A_SCDPT1!SCDPT1_022BEGINNG_24</vt:lpstr>
      <vt:lpstr>GMIC_22A_SCDPT1!SCDPT1_022BEGINNG_25</vt:lpstr>
      <vt:lpstr>GMIC_22A_SCDPT1!SCDPT1_022BEGINNG_26</vt:lpstr>
      <vt:lpstr>GMIC_22A_SCDPT1!SCDPT1_022BEGINNG_27</vt:lpstr>
      <vt:lpstr>GMIC_22A_SCDPT1!SCDPT1_022BEGINNG_28</vt:lpstr>
      <vt:lpstr>GMIC_22A_SCDPT1!SCDPT1_022BEGINNG_29</vt:lpstr>
      <vt:lpstr>GMIC_22A_SCDPT1!SCDPT1_022BEGINNG_3</vt:lpstr>
      <vt:lpstr>GMIC_22A_SCDPT1!SCDPT1_022BEGINNG_30</vt:lpstr>
      <vt:lpstr>GMIC_22A_SCDPT1!SCDPT1_022BEGINNG_31</vt:lpstr>
      <vt:lpstr>GMIC_22A_SCDPT1!SCDPT1_022BEGINNG_32</vt:lpstr>
      <vt:lpstr>GMIC_22A_SCDPT1!SCDPT1_022BEGINNG_33</vt:lpstr>
      <vt:lpstr>GMIC_22A_SCDPT1!SCDPT1_022BEGINNG_34</vt:lpstr>
      <vt:lpstr>GMIC_22A_SCDPT1!SCDPT1_022BEGINNG_35</vt:lpstr>
      <vt:lpstr>GMIC_22A_SCDPT1!SCDPT1_022BEGINNG_36</vt:lpstr>
      <vt:lpstr>GMIC_22A_SCDPT1!SCDPT1_022BEGINNG_4</vt:lpstr>
      <vt:lpstr>GMIC_22A_SCDPT1!SCDPT1_022BEGINNG_5</vt:lpstr>
      <vt:lpstr>GMIC_22A_SCDPT1!SCDPT1_022BEGINNG_6.01</vt:lpstr>
      <vt:lpstr>GMIC_22A_SCDPT1!SCDPT1_022BEGINNG_6.02</vt:lpstr>
      <vt:lpstr>GMIC_22A_SCDPT1!SCDPT1_022BEGINNG_6.03</vt:lpstr>
      <vt:lpstr>GMIC_22A_SCDPT1!SCDPT1_022BEGINNG_7</vt:lpstr>
      <vt:lpstr>GMIC_22A_SCDPT1!SCDPT1_022BEGINNG_8</vt:lpstr>
      <vt:lpstr>GMIC_22A_SCDPT1!SCDPT1_022BEGINNG_9</vt:lpstr>
      <vt:lpstr>GMIC_22A_SCDPT1!SCDPT1_022ENDINGG_10</vt:lpstr>
      <vt:lpstr>GMIC_22A_SCDPT1!SCDPT1_022ENDINGG_11</vt:lpstr>
      <vt:lpstr>GMIC_22A_SCDPT1!SCDPT1_022ENDINGG_12</vt:lpstr>
      <vt:lpstr>GMIC_22A_SCDPT1!SCDPT1_022ENDINGG_13</vt:lpstr>
      <vt:lpstr>GMIC_22A_SCDPT1!SCDPT1_022ENDINGG_14</vt:lpstr>
      <vt:lpstr>GMIC_22A_SCDPT1!SCDPT1_022ENDINGG_15</vt:lpstr>
      <vt:lpstr>GMIC_22A_SCDPT1!SCDPT1_022ENDINGG_16</vt:lpstr>
      <vt:lpstr>GMIC_22A_SCDPT1!SCDPT1_022ENDINGG_17</vt:lpstr>
      <vt:lpstr>GMIC_22A_SCDPT1!SCDPT1_022ENDINGG_18</vt:lpstr>
      <vt:lpstr>GMIC_22A_SCDPT1!SCDPT1_022ENDINGG_19</vt:lpstr>
      <vt:lpstr>GMIC_22A_SCDPT1!SCDPT1_022ENDINGG_2</vt:lpstr>
      <vt:lpstr>GMIC_22A_SCDPT1!SCDPT1_022ENDINGG_20</vt:lpstr>
      <vt:lpstr>GMIC_22A_SCDPT1!SCDPT1_022ENDINGG_21</vt:lpstr>
      <vt:lpstr>GMIC_22A_SCDPT1!SCDPT1_022ENDINGG_22</vt:lpstr>
      <vt:lpstr>GMIC_22A_SCDPT1!SCDPT1_022ENDINGG_23</vt:lpstr>
      <vt:lpstr>GMIC_22A_SCDPT1!SCDPT1_022ENDINGG_24</vt:lpstr>
      <vt:lpstr>GMIC_22A_SCDPT1!SCDPT1_022ENDINGG_25</vt:lpstr>
      <vt:lpstr>GMIC_22A_SCDPT1!SCDPT1_022ENDINGG_26</vt:lpstr>
      <vt:lpstr>GMIC_22A_SCDPT1!SCDPT1_022ENDINGG_27</vt:lpstr>
      <vt:lpstr>GMIC_22A_SCDPT1!SCDPT1_022ENDINGG_28</vt:lpstr>
      <vt:lpstr>GMIC_22A_SCDPT1!SCDPT1_022ENDINGG_29</vt:lpstr>
      <vt:lpstr>GMIC_22A_SCDPT1!SCDPT1_022ENDINGG_3</vt:lpstr>
      <vt:lpstr>GMIC_22A_SCDPT1!SCDPT1_022ENDINGG_30</vt:lpstr>
      <vt:lpstr>GMIC_22A_SCDPT1!SCDPT1_022ENDINGG_31</vt:lpstr>
      <vt:lpstr>GMIC_22A_SCDPT1!SCDPT1_022ENDINGG_32</vt:lpstr>
      <vt:lpstr>GMIC_22A_SCDPT1!SCDPT1_022ENDINGG_33</vt:lpstr>
      <vt:lpstr>GMIC_22A_SCDPT1!SCDPT1_022ENDINGG_34</vt:lpstr>
      <vt:lpstr>GMIC_22A_SCDPT1!SCDPT1_022ENDINGG_35</vt:lpstr>
      <vt:lpstr>GMIC_22A_SCDPT1!SCDPT1_022ENDINGG_36</vt:lpstr>
      <vt:lpstr>GMIC_22A_SCDPT1!SCDPT1_022ENDINGG_4</vt:lpstr>
      <vt:lpstr>GMIC_22A_SCDPT1!SCDPT1_022ENDINGG_5</vt:lpstr>
      <vt:lpstr>GMIC_22A_SCDPT1!SCDPT1_022ENDINGG_6.01</vt:lpstr>
      <vt:lpstr>GMIC_22A_SCDPT1!SCDPT1_022ENDINGG_6.02</vt:lpstr>
      <vt:lpstr>GMIC_22A_SCDPT1!SCDPT1_022ENDINGG_6.03</vt:lpstr>
      <vt:lpstr>GMIC_22A_SCDPT1!SCDPT1_022ENDINGG_7</vt:lpstr>
      <vt:lpstr>GMIC_22A_SCDPT1!SCDPT1_022ENDINGG_8</vt:lpstr>
      <vt:lpstr>GMIC_22A_SCDPT1!SCDPT1_022ENDINGG_9</vt:lpstr>
      <vt:lpstr>GMIC_22A_SCDPT1!SCDPT1_0230000000_Range</vt:lpstr>
      <vt:lpstr>GMIC_22A_SCDPT1!SCDPT1_0239999999_10</vt:lpstr>
      <vt:lpstr>GMIC_22A_SCDPT1!SCDPT1_0239999999_11</vt:lpstr>
      <vt:lpstr>GMIC_22A_SCDPT1!SCDPT1_0239999999_12</vt:lpstr>
      <vt:lpstr>GMIC_22A_SCDPT1!SCDPT1_0239999999_13</vt:lpstr>
      <vt:lpstr>GMIC_22A_SCDPT1!SCDPT1_0239999999_14</vt:lpstr>
      <vt:lpstr>GMIC_22A_SCDPT1!SCDPT1_0239999999_15</vt:lpstr>
      <vt:lpstr>GMIC_22A_SCDPT1!SCDPT1_0239999999_19</vt:lpstr>
      <vt:lpstr>GMIC_22A_SCDPT1!SCDPT1_0239999999_20</vt:lpstr>
      <vt:lpstr>GMIC_22A_SCDPT1!SCDPT1_0239999999_7</vt:lpstr>
      <vt:lpstr>GMIC_22A_SCDPT1!SCDPT1_0239999999_9</vt:lpstr>
      <vt:lpstr>GMIC_22A_SCDPT1!SCDPT1_023BEGINNG_1</vt:lpstr>
      <vt:lpstr>GMIC_22A_SCDPT1!SCDPT1_023BEGINNG_10</vt:lpstr>
      <vt:lpstr>GMIC_22A_SCDPT1!SCDPT1_023BEGINNG_11</vt:lpstr>
      <vt:lpstr>GMIC_22A_SCDPT1!SCDPT1_023BEGINNG_12</vt:lpstr>
      <vt:lpstr>GMIC_22A_SCDPT1!SCDPT1_023BEGINNG_13</vt:lpstr>
      <vt:lpstr>GMIC_22A_SCDPT1!SCDPT1_023BEGINNG_14</vt:lpstr>
      <vt:lpstr>GMIC_22A_SCDPT1!SCDPT1_023BEGINNG_15</vt:lpstr>
      <vt:lpstr>GMIC_22A_SCDPT1!SCDPT1_023BEGINNG_16</vt:lpstr>
      <vt:lpstr>GMIC_22A_SCDPT1!SCDPT1_023BEGINNG_17</vt:lpstr>
      <vt:lpstr>GMIC_22A_SCDPT1!SCDPT1_023BEGINNG_18</vt:lpstr>
      <vt:lpstr>GMIC_22A_SCDPT1!SCDPT1_023BEGINNG_19</vt:lpstr>
      <vt:lpstr>GMIC_22A_SCDPT1!SCDPT1_023BEGINNG_2</vt:lpstr>
      <vt:lpstr>GMIC_22A_SCDPT1!SCDPT1_023BEGINNG_20</vt:lpstr>
      <vt:lpstr>GMIC_22A_SCDPT1!SCDPT1_023BEGINNG_21</vt:lpstr>
      <vt:lpstr>GMIC_22A_SCDPT1!SCDPT1_023BEGINNG_22</vt:lpstr>
      <vt:lpstr>GMIC_22A_SCDPT1!SCDPT1_023BEGINNG_23</vt:lpstr>
      <vt:lpstr>GMIC_22A_SCDPT1!SCDPT1_023BEGINNG_24</vt:lpstr>
      <vt:lpstr>GMIC_22A_SCDPT1!SCDPT1_023BEGINNG_25</vt:lpstr>
      <vt:lpstr>GMIC_22A_SCDPT1!SCDPT1_023BEGINNG_26</vt:lpstr>
      <vt:lpstr>GMIC_22A_SCDPT1!SCDPT1_023BEGINNG_27</vt:lpstr>
      <vt:lpstr>GMIC_22A_SCDPT1!SCDPT1_023BEGINNG_28</vt:lpstr>
      <vt:lpstr>GMIC_22A_SCDPT1!SCDPT1_023BEGINNG_29</vt:lpstr>
      <vt:lpstr>GMIC_22A_SCDPT1!SCDPT1_023BEGINNG_3</vt:lpstr>
      <vt:lpstr>GMIC_22A_SCDPT1!SCDPT1_023BEGINNG_30</vt:lpstr>
      <vt:lpstr>GMIC_22A_SCDPT1!SCDPT1_023BEGINNG_31</vt:lpstr>
      <vt:lpstr>GMIC_22A_SCDPT1!SCDPT1_023BEGINNG_32</vt:lpstr>
      <vt:lpstr>GMIC_22A_SCDPT1!SCDPT1_023BEGINNG_33</vt:lpstr>
      <vt:lpstr>GMIC_22A_SCDPT1!SCDPT1_023BEGINNG_34</vt:lpstr>
      <vt:lpstr>GMIC_22A_SCDPT1!SCDPT1_023BEGINNG_35</vt:lpstr>
      <vt:lpstr>GMIC_22A_SCDPT1!SCDPT1_023BEGINNG_36</vt:lpstr>
      <vt:lpstr>GMIC_22A_SCDPT1!SCDPT1_023BEGINNG_4</vt:lpstr>
      <vt:lpstr>GMIC_22A_SCDPT1!SCDPT1_023BEGINNG_5</vt:lpstr>
      <vt:lpstr>GMIC_22A_SCDPT1!SCDPT1_023BEGINNG_6.01</vt:lpstr>
      <vt:lpstr>GMIC_22A_SCDPT1!SCDPT1_023BEGINNG_6.02</vt:lpstr>
      <vt:lpstr>GMIC_22A_SCDPT1!SCDPT1_023BEGINNG_6.03</vt:lpstr>
      <vt:lpstr>GMIC_22A_SCDPT1!SCDPT1_023BEGINNG_7</vt:lpstr>
      <vt:lpstr>GMIC_22A_SCDPT1!SCDPT1_023BEGINNG_8</vt:lpstr>
      <vt:lpstr>GMIC_22A_SCDPT1!SCDPT1_023BEGINNG_9</vt:lpstr>
      <vt:lpstr>GMIC_22A_SCDPT1!SCDPT1_023ENDINGG_10</vt:lpstr>
      <vt:lpstr>GMIC_22A_SCDPT1!SCDPT1_023ENDINGG_11</vt:lpstr>
      <vt:lpstr>GMIC_22A_SCDPT1!SCDPT1_023ENDINGG_12</vt:lpstr>
      <vt:lpstr>GMIC_22A_SCDPT1!SCDPT1_023ENDINGG_13</vt:lpstr>
      <vt:lpstr>GMIC_22A_SCDPT1!SCDPT1_023ENDINGG_14</vt:lpstr>
      <vt:lpstr>GMIC_22A_SCDPT1!SCDPT1_023ENDINGG_15</vt:lpstr>
      <vt:lpstr>GMIC_22A_SCDPT1!SCDPT1_023ENDINGG_16</vt:lpstr>
      <vt:lpstr>GMIC_22A_SCDPT1!SCDPT1_023ENDINGG_17</vt:lpstr>
      <vt:lpstr>GMIC_22A_SCDPT1!SCDPT1_023ENDINGG_18</vt:lpstr>
      <vt:lpstr>GMIC_22A_SCDPT1!SCDPT1_023ENDINGG_19</vt:lpstr>
      <vt:lpstr>GMIC_22A_SCDPT1!SCDPT1_023ENDINGG_2</vt:lpstr>
      <vt:lpstr>GMIC_22A_SCDPT1!SCDPT1_023ENDINGG_20</vt:lpstr>
      <vt:lpstr>GMIC_22A_SCDPT1!SCDPT1_023ENDINGG_21</vt:lpstr>
      <vt:lpstr>GMIC_22A_SCDPT1!SCDPT1_023ENDINGG_22</vt:lpstr>
      <vt:lpstr>GMIC_22A_SCDPT1!SCDPT1_023ENDINGG_23</vt:lpstr>
      <vt:lpstr>GMIC_22A_SCDPT1!SCDPT1_023ENDINGG_24</vt:lpstr>
      <vt:lpstr>GMIC_22A_SCDPT1!SCDPT1_023ENDINGG_25</vt:lpstr>
      <vt:lpstr>GMIC_22A_SCDPT1!SCDPT1_023ENDINGG_26</vt:lpstr>
      <vt:lpstr>GMIC_22A_SCDPT1!SCDPT1_023ENDINGG_27</vt:lpstr>
      <vt:lpstr>GMIC_22A_SCDPT1!SCDPT1_023ENDINGG_28</vt:lpstr>
      <vt:lpstr>GMIC_22A_SCDPT1!SCDPT1_023ENDINGG_29</vt:lpstr>
      <vt:lpstr>GMIC_22A_SCDPT1!SCDPT1_023ENDINGG_3</vt:lpstr>
      <vt:lpstr>GMIC_22A_SCDPT1!SCDPT1_023ENDINGG_30</vt:lpstr>
      <vt:lpstr>GMIC_22A_SCDPT1!SCDPT1_023ENDINGG_31</vt:lpstr>
      <vt:lpstr>GMIC_22A_SCDPT1!SCDPT1_023ENDINGG_32</vt:lpstr>
      <vt:lpstr>GMIC_22A_SCDPT1!SCDPT1_023ENDINGG_33</vt:lpstr>
      <vt:lpstr>GMIC_22A_SCDPT1!SCDPT1_023ENDINGG_34</vt:lpstr>
      <vt:lpstr>GMIC_22A_SCDPT1!SCDPT1_023ENDINGG_35</vt:lpstr>
      <vt:lpstr>GMIC_22A_SCDPT1!SCDPT1_023ENDINGG_36</vt:lpstr>
      <vt:lpstr>GMIC_22A_SCDPT1!SCDPT1_023ENDINGG_4</vt:lpstr>
      <vt:lpstr>GMIC_22A_SCDPT1!SCDPT1_023ENDINGG_5</vt:lpstr>
      <vt:lpstr>GMIC_22A_SCDPT1!SCDPT1_023ENDINGG_6.01</vt:lpstr>
      <vt:lpstr>GMIC_22A_SCDPT1!SCDPT1_023ENDINGG_6.02</vt:lpstr>
      <vt:lpstr>GMIC_22A_SCDPT1!SCDPT1_023ENDINGG_6.03</vt:lpstr>
      <vt:lpstr>GMIC_22A_SCDPT1!SCDPT1_023ENDINGG_7</vt:lpstr>
      <vt:lpstr>GMIC_22A_SCDPT1!SCDPT1_023ENDINGG_8</vt:lpstr>
      <vt:lpstr>GMIC_22A_SCDPT1!SCDPT1_023ENDINGG_9</vt:lpstr>
      <vt:lpstr>GMIC_22A_SCDPT1!SCDPT1_0240000000_Range</vt:lpstr>
      <vt:lpstr>GMIC_22A_SCDPT1!SCDPT1_0249999999_10</vt:lpstr>
      <vt:lpstr>GMIC_22A_SCDPT1!SCDPT1_0249999999_11</vt:lpstr>
      <vt:lpstr>GMIC_22A_SCDPT1!SCDPT1_0249999999_12</vt:lpstr>
      <vt:lpstr>GMIC_22A_SCDPT1!SCDPT1_0249999999_13</vt:lpstr>
      <vt:lpstr>GMIC_22A_SCDPT1!SCDPT1_0249999999_14</vt:lpstr>
      <vt:lpstr>GMIC_22A_SCDPT1!SCDPT1_0249999999_15</vt:lpstr>
      <vt:lpstr>GMIC_22A_SCDPT1!SCDPT1_0249999999_19</vt:lpstr>
      <vt:lpstr>GMIC_22A_SCDPT1!SCDPT1_0249999999_20</vt:lpstr>
      <vt:lpstr>GMIC_22A_SCDPT1!SCDPT1_0249999999_7</vt:lpstr>
      <vt:lpstr>GMIC_22A_SCDPT1!SCDPT1_0249999999_9</vt:lpstr>
      <vt:lpstr>GMIC_22A_SCDPT1!SCDPT1_024BEGINNG_1</vt:lpstr>
      <vt:lpstr>GMIC_22A_SCDPT1!SCDPT1_024BEGINNG_10</vt:lpstr>
      <vt:lpstr>GMIC_22A_SCDPT1!SCDPT1_024BEGINNG_11</vt:lpstr>
      <vt:lpstr>GMIC_22A_SCDPT1!SCDPT1_024BEGINNG_12</vt:lpstr>
      <vt:lpstr>GMIC_22A_SCDPT1!SCDPT1_024BEGINNG_13</vt:lpstr>
      <vt:lpstr>GMIC_22A_SCDPT1!SCDPT1_024BEGINNG_14</vt:lpstr>
      <vt:lpstr>GMIC_22A_SCDPT1!SCDPT1_024BEGINNG_15</vt:lpstr>
      <vt:lpstr>GMIC_22A_SCDPT1!SCDPT1_024BEGINNG_16</vt:lpstr>
      <vt:lpstr>GMIC_22A_SCDPT1!SCDPT1_024BEGINNG_17</vt:lpstr>
      <vt:lpstr>GMIC_22A_SCDPT1!SCDPT1_024BEGINNG_18</vt:lpstr>
      <vt:lpstr>GMIC_22A_SCDPT1!SCDPT1_024BEGINNG_19</vt:lpstr>
      <vt:lpstr>GMIC_22A_SCDPT1!SCDPT1_024BEGINNG_2</vt:lpstr>
      <vt:lpstr>GMIC_22A_SCDPT1!SCDPT1_024BEGINNG_20</vt:lpstr>
      <vt:lpstr>GMIC_22A_SCDPT1!SCDPT1_024BEGINNG_21</vt:lpstr>
      <vt:lpstr>GMIC_22A_SCDPT1!SCDPT1_024BEGINNG_22</vt:lpstr>
      <vt:lpstr>GMIC_22A_SCDPT1!SCDPT1_024BEGINNG_23</vt:lpstr>
      <vt:lpstr>GMIC_22A_SCDPT1!SCDPT1_024BEGINNG_24</vt:lpstr>
      <vt:lpstr>GMIC_22A_SCDPT1!SCDPT1_024BEGINNG_25</vt:lpstr>
      <vt:lpstr>GMIC_22A_SCDPT1!SCDPT1_024BEGINNG_26</vt:lpstr>
      <vt:lpstr>GMIC_22A_SCDPT1!SCDPT1_024BEGINNG_27</vt:lpstr>
      <vt:lpstr>GMIC_22A_SCDPT1!SCDPT1_024BEGINNG_28</vt:lpstr>
      <vt:lpstr>GMIC_22A_SCDPT1!SCDPT1_024BEGINNG_29</vt:lpstr>
      <vt:lpstr>GMIC_22A_SCDPT1!SCDPT1_024BEGINNG_3</vt:lpstr>
      <vt:lpstr>GMIC_22A_SCDPT1!SCDPT1_024BEGINNG_30</vt:lpstr>
      <vt:lpstr>GMIC_22A_SCDPT1!SCDPT1_024BEGINNG_31</vt:lpstr>
      <vt:lpstr>GMIC_22A_SCDPT1!SCDPT1_024BEGINNG_32</vt:lpstr>
      <vt:lpstr>GMIC_22A_SCDPT1!SCDPT1_024BEGINNG_33</vt:lpstr>
      <vt:lpstr>GMIC_22A_SCDPT1!SCDPT1_024BEGINNG_34</vt:lpstr>
      <vt:lpstr>GMIC_22A_SCDPT1!SCDPT1_024BEGINNG_35</vt:lpstr>
      <vt:lpstr>GMIC_22A_SCDPT1!SCDPT1_024BEGINNG_36</vt:lpstr>
      <vt:lpstr>GMIC_22A_SCDPT1!SCDPT1_024BEGINNG_4</vt:lpstr>
      <vt:lpstr>GMIC_22A_SCDPT1!SCDPT1_024BEGINNG_5</vt:lpstr>
      <vt:lpstr>GMIC_22A_SCDPT1!SCDPT1_024BEGINNG_6.01</vt:lpstr>
      <vt:lpstr>GMIC_22A_SCDPT1!SCDPT1_024BEGINNG_6.02</vt:lpstr>
      <vt:lpstr>GMIC_22A_SCDPT1!SCDPT1_024BEGINNG_6.03</vt:lpstr>
      <vt:lpstr>GMIC_22A_SCDPT1!SCDPT1_024BEGINNG_7</vt:lpstr>
      <vt:lpstr>GMIC_22A_SCDPT1!SCDPT1_024BEGINNG_8</vt:lpstr>
      <vt:lpstr>GMIC_22A_SCDPT1!SCDPT1_024BEGINNG_9</vt:lpstr>
      <vt:lpstr>GMIC_22A_SCDPT1!SCDPT1_024ENDINGG_10</vt:lpstr>
      <vt:lpstr>GMIC_22A_SCDPT1!SCDPT1_024ENDINGG_11</vt:lpstr>
      <vt:lpstr>GMIC_22A_SCDPT1!SCDPT1_024ENDINGG_12</vt:lpstr>
      <vt:lpstr>GMIC_22A_SCDPT1!SCDPT1_024ENDINGG_13</vt:lpstr>
      <vt:lpstr>GMIC_22A_SCDPT1!SCDPT1_024ENDINGG_14</vt:lpstr>
      <vt:lpstr>GMIC_22A_SCDPT1!SCDPT1_024ENDINGG_15</vt:lpstr>
      <vt:lpstr>GMIC_22A_SCDPT1!SCDPT1_024ENDINGG_16</vt:lpstr>
      <vt:lpstr>GMIC_22A_SCDPT1!SCDPT1_024ENDINGG_17</vt:lpstr>
      <vt:lpstr>GMIC_22A_SCDPT1!SCDPT1_024ENDINGG_18</vt:lpstr>
      <vt:lpstr>GMIC_22A_SCDPT1!SCDPT1_024ENDINGG_19</vt:lpstr>
      <vt:lpstr>GMIC_22A_SCDPT1!SCDPT1_024ENDINGG_2</vt:lpstr>
      <vt:lpstr>GMIC_22A_SCDPT1!SCDPT1_024ENDINGG_20</vt:lpstr>
      <vt:lpstr>GMIC_22A_SCDPT1!SCDPT1_024ENDINGG_21</vt:lpstr>
      <vt:lpstr>GMIC_22A_SCDPT1!SCDPT1_024ENDINGG_22</vt:lpstr>
      <vt:lpstr>GMIC_22A_SCDPT1!SCDPT1_024ENDINGG_23</vt:lpstr>
      <vt:lpstr>GMIC_22A_SCDPT1!SCDPT1_024ENDINGG_24</vt:lpstr>
      <vt:lpstr>GMIC_22A_SCDPT1!SCDPT1_024ENDINGG_25</vt:lpstr>
      <vt:lpstr>GMIC_22A_SCDPT1!SCDPT1_024ENDINGG_26</vt:lpstr>
      <vt:lpstr>GMIC_22A_SCDPT1!SCDPT1_024ENDINGG_27</vt:lpstr>
      <vt:lpstr>GMIC_22A_SCDPT1!SCDPT1_024ENDINGG_28</vt:lpstr>
      <vt:lpstr>GMIC_22A_SCDPT1!SCDPT1_024ENDINGG_29</vt:lpstr>
      <vt:lpstr>GMIC_22A_SCDPT1!SCDPT1_024ENDINGG_3</vt:lpstr>
      <vt:lpstr>GMIC_22A_SCDPT1!SCDPT1_024ENDINGG_30</vt:lpstr>
      <vt:lpstr>GMIC_22A_SCDPT1!SCDPT1_024ENDINGG_31</vt:lpstr>
      <vt:lpstr>GMIC_22A_SCDPT1!SCDPT1_024ENDINGG_32</vt:lpstr>
      <vt:lpstr>GMIC_22A_SCDPT1!SCDPT1_024ENDINGG_33</vt:lpstr>
      <vt:lpstr>GMIC_22A_SCDPT1!SCDPT1_024ENDINGG_34</vt:lpstr>
      <vt:lpstr>GMIC_22A_SCDPT1!SCDPT1_024ENDINGG_35</vt:lpstr>
      <vt:lpstr>GMIC_22A_SCDPT1!SCDPT1_024ENDINGG_36</vt:lpstr>
      <vt:lpstr>GMIC_22A_SCDPT1!SCDPT1_024ENDINGG_4</vt:lpstr>
      <vt:lpstr>GMIC_22A_SCDPT1!SCDPT1_024ENDINGG_5</vt:lpstr>
      <vt:lpstr>GMIC_22A_SCDPT1!SCDPT1_024ENDINGG_6.01</vt:lpstr>
      <vt:lpstr>GMIC_22A_SCDPT1!SCDPT1_024ENDINGG_6.02</vt:lpstr>
      <vt:lpstr>GMIC_22A_SCDPT1!SCDPT1_024ENDINGG_6.03</vt:lpstr>
      <vt:lpstr>GMIC_22A_SCDPT1!SCDPT1_024ENDINGG_7</vt:lpstr>
      <vt:lpstr>GMIC_22A_SCDPT1!SCDPT1_024ENDINGG_8</vt:lpstr>
      <vt:lpstr>GMIC_22A_SCDPT1!SCDPT1_024ENDINGG_9</vt:lpstr>
      <vt:lpstr>GMIC_22A_SCDPT1!SCDPT1_0309999999_10</vt:lpstr>
      <vt:lpstr>GMIC_22A_SCDPT1!SCDPT1_0309999999_11</vt:lpstr>
      <vt:lpstr>GMIC_22A_SCDPT1!SCDPT1_0309999999_12</vt:lpstr>
      <vt:lpstr>GMIC_22A_SCDPT1!SCDPT1_0309999999_13</vt:lpstr>
      <vt:lpstr>GMIC_22A_SCDPT1!SCDPT1_0309999999_14</vt:lpstr>
      <vt:lpstr>GMIC_22A_SCDPT1!SCDPT1_0309999999_15</vt:lpstr>
      <vt:lpstr>GMIC_22A_SCDPT1!SCDPT1_0309999999_19</vt:lpstr>
      <vt:lpstr>GMIC_22A_SCDPT1!SCDPT1_0309999999_20</vt:lpstr>
      <vt:lpstr>GMIC_22A_SCDPT1!SCDPT1_0309999999_7</vt:lpstr>
      <vt:lpstr>GMIC_22A_SCDPT1!SCDPT1_0309999999_9</vt:lpstr>
      <vt:lpstr>GMIC_22A_SCDPT1!SCDPT1_0410000000_Range</vt:lpstr>
      <vt:lpstr>GMIC_22A_SCDPT1!SCDPT1_0410000001_1</vt:lpstr>
      <vt:lpstr>GMIC_22A_SCDPT1!SCDPT1_0410000001_10</vt:lpstr>
      <vt:lpstr>GMIC_22A_SCDPT1!SCDPT1_0410000001_11</vt:lpstr>
      <vt:lpstr>GMIC_22A_SCDPT1!SCDPT1_0410000001_12</vt:lpstr>
      <vt:lpstr>GMIC_22A_SCDPT1!SCDPT1_0410000001_13</vt:lpstr>
      <vt:lpstr>GMIC_22A_SCDPT1!SCDPT1_0410000001_14</vt:lpstr>
      <vt:lpstr>GMIC_22A_SCDPT1!SCDPT1_0410000001_15</vt:lpstr>
      <vt:lpstr>GMIC_22A_SCDPT1!SCDPT1_0410000001_16</vt:lpstr>
      <vt:lpstr>GMIC_22A_SCDPT1!SCDPT1_0410000001_17</vt:lpstr>
      <vt:lpstr>GMIC_22A_SCDPT1!SCDPT1_0410000001_18</vt:lpstr>
      <vt:lpstr>GMIC_22A_SCDPT1!SCDPT1_0410000001_19</vt:lpstr>
      <vt:lpstr>GMIC_22A_SCDPT1!SCDPT1_0410000001_2</vt:lpstr>
      <vt:lpstr>GMIC_22A_SCDPT1!SCDPT1_0410000001_20</vt:lpstr>
      <vt:lpstr>GMIC_22A_SCDPT1!SCDPT1_0410000001_21</vt:lpstr>
      <vt:lpstr>GMIC_22A_SCDPT1!SCDPT1_0410000001_22</vt:lpstr>
      <vt:lpstr>GMIC_22A_SCDPT1!SCDPT1_0410000001_23</vt:lpstr>
      <vt:lpstr>GMIC_22A_SCDPT1!SCDPT1_0410000001_24</vt:lpstr>
      <vt:lpstr>GMIC_22A_SCDPT1!SCDPT1_0410000001_25</vt:lpstr>
      <vt:lpstr>GMIC_22A_SCDPT1!SCDPT1_0410000001_27</vt:lpstr>
      <vt:lpstr>GMIC_22A_SCDPT1!SCDPT1_0410000001_28</vt:lpstr>
      <vt:lpstr>GMIC_22A_SCDPT1!SCDPT1_0410000001_29</vt:lpstr>
      <vt:lpstr>GMIC_22A_SCDPT1!SCDPT1_0410000001_3</vt:lpstr>
      <vt:lpstr>GMIC_22A_SCDPT1!SCDPT1_0410000001_30</vt:lpstr>
      <vt:lpstr>GMIC_22A_SCDPT1!SCDPT1_0410000001_31</vt:lpstr>
      <vt:lpstr>GMIC_22A_SCDPT1!SCDPT1_0410000001_32</vt:lpstr>
      <vt:lpstr>GMIC_22A_SCDPT1!SCDPT1_0410000001_33</vt:lpstr>
      <vt:lpstr>GMIC_22A_SCDPT1!SCDPT1_0410000001_34</vt:lpstr>
      <vt:lpstr>GMIC_22A_SCDPT1!SCDPT1_0410000001_35</vt:lpstr>
      <vt:lpstr>GMIC_22A_SCDPT1!SCDPT1_0410000001_36</vt:lpstr>
      <vt:lpstr>GMIC_22A_SCDPT1!SCDPT1_0410000001_4</vt:lpstr>
      <vt:lpstr>GMIC_22A_SCDPT1!SCDPT1_0410000001_5</vt:lpstr>
      <vt:lpstr>GMIC_22A_SCDPT1!SCDPT1_0410000001_6.01</vt:lpstr>
      <vt:lpstr>GMIC_22A_SCDPT1!SCDPT1_0410000001_6.02</vt:lpstr>
      <vt:lpstr>GMIC_22A_SCDPT1!SCDPT1_0410000001_6.03</vt:lpstr>
      <vt:lpstr>GMIC_22A_SCDPT1!SCDPT1_0410000001_7</vt:lpstr>
      <vt:lpstr>GMIC_22A_SCDPT1!SCDPT1_0410000001_8</vt:lpstr>
      <vt:lpstr>GMIC_22A_SCDPT1!SCDPT1_0410000001_9</vt:lpstr>
      <vt:lpstr>GMIC_22A_SCDPT1!SCDPT1_0419999999_10</vt:lpstr>
      <vt:lpstr>GMIC_22A_SCDPT1!SCDPT1_0419999999_11</vt:lpstr>
      <vt:lpstr>GMIC_22A_SCDPT1!SCDPT1_0419999999_12</vt:lpstr>
      <vt:lpstr>GMIC_22A_SCDPT1!SCDPT1_0419999999_13</vt:lpstr>
      <vt:lpstr>GMIC_22A_SCDPT1!SCDPT1_0419999999_14</vt:lpstr>
      <vt:lpstr>GMIC_22A_SCDPT1!SCDPT1_0419999999_15</vt:lpstr>
      <vt:lpstr>GMIC_22A_SCDPT1!SCDPT1_0419999999_19</vt:lpstr>
      <vt:lpstr>GMIC_22A_SCDPT1!SCDPT1_0419999999_20</vt:lpstr>
      <vt:lpstr>GMIC_22A_SCDPT1!SCDPT1_0419999999_7</vt:lpstr>
      <vt:lpstr>GMIC_22A_SCDPT1!SCDPT1_0419999999_9</vt:lpstr>
      <vt:lpstr>GMIC_22A_SCDPT1!SCDPT1_041BEGINNG_1</vt:lpstr>
      <vt:lpstr>GMIC_22A_SCDPT1!SCDPT1_041BEGINNG_10</vt:lpstr>
      <vt:lpstr>GMIC_22A_SCDPT1!SCDPT1_041BEGINNG_11</vt:lpstr>
      <vt:lpstr>GMIC_22A_SCDPT1!SCDPT1_041BEGINNG_12</vt:lpstr>
      <vt:lpstr>GMIC_22A_SCDPT1!SCDPT1_041BEGINNG_13</vt:lpstr>
      <vt:lpstr>GMIC_22A_SCDPT1!SCDPT1_041BEGINNG_14</vt:lpstr>
      <vt:lpstr>GMIC_22A_SCDPT1!SCDPT1_041BEGINNG_15</vt:lpstr>
      <vt:lpstr>GMIC_22A_SCDPT1!SCDPT1_041BEGINNG_16</vt:lpstr>
      <vt:lpstr>GMIC_22A_SCDPT1!SCDPT1_041BEGINNG_17</vt:lpstr>
      <vt:lpstr>GMIC_22A_SCDPT1!SCDPT1_041BEGINNG_18</vt:lpstr>
      <vt:lpstr>GMIC_22A_SCDPT1!SCDPT1_041BEGINNG_19</vt:lpstr>
      <vt:lpstr>GMIC_22A_SCDPT1!SCDPT1_041BEGINNG_2</vt:lpstr>
      <vt:lpstr>GMIC_22A_SCDPT1!SCDPT1_041BEGINNG_20</vt:lpstr>
      <vt:lpstr>GMIC_22A_SCDPT1!SCDPT1_041BEGINNG_21</vt:lpstr>
      <vt:lpstr>GMIC_22A_SCDPT1!SCDPT1_041BEGINNG_22</vt:lpstr>
      <vt:lpstr>GMIC_22A_SCDPT1!SCDPT1_041BEGINNG_23</vt:lpstr>
      <vt:lpstr>GMIC_22A_SCDPT1!SCDPT1_041BEGINNG_24</vt:lpstr>
      <vt:lpstr>GMIC_22A_SCDPT1!SCDPT1_041BEGINNG_25</vt:lpstr>
      <vt:lpstr>GMIC_22A_SCDPT1!SCDPT1_041BEGINNG_26</vt:lpstr>
      <vt:lpstr>GMIC_22A_SCDPT1!SCDPT1_041BEGINNG_27</vt:lpstr>
      <vt:lpstr>GMIC_22A_SCDPT1!SCDPT1_041BEGINNG_28</vt:lpstr>
      <vt:lpstr>GMIC_22A_SCDPT1!SCDPT1_041BEGINNG_29</vt:lpstr>
      <vt:lpstr>GMIC_22A_SCDPT1!SCDPT1_041BEGINNG_3</vt:lpstr>
      <vt:lpstr>GMIC_22A_SCDPT1!SCDPT1_041BEGINNG_30</vt:lpstr>
      <vt:lpstr>GMIC_22A_SCDPT1!SCDPT1_041BEGINNG_31</vt:lpstr>
      <vt:lpstr>GMIC_22A_SCDPT1!SCDPT1_041BEGINNG_32</vt:lpstr>
      <vt:lpstr>GMIC_22A_SCDPT1!SCDPT1_041BEGINNG_33</vt:lpstr>
      <vt:lpstr>GMIC_22A_SCDPT1!SCDPT1_041BEGINNG_34</vt:lpstr>
      <vt:lpstr>GMIC_22A_SCDPT1!SCDPT1_041BEGINNG_35</vt:lpstr>
      <vt:lpstr>GMIC_22A_SCDPT1!SCDPT1_041BEGINNG_36</vt:lpstr>
      <vt:lpstr>GMIC_22A_SCDPT1!SCDPT1_041BEGINNG_4</vt:lpstr>
      <vt:lpstr>GMIC_22A_SCDPT1!SCDPT1_041BEGINNG_5</vt:lpstr>
      <vt:lpstr>GMIC_22A_SCDPT1!SCDPT1_041BEGINNG_6.01</vt:lpstr>
      <vt:lpstr>GMIC_22A_SCDPT1!SCDPT1_041BEGINNG_6.02</vt:lpstr>
      <vt:lpstr>GMIC_22A_SCDPT1!SCDPT1_041BEGINNG_6.03</vt:lpstr>
      <vt:lpstr>GMIC_22A_SCDPT1!SCDPT1_041BEGINNG_7</vt:lpstr>
      <vt:lpstr>GMIC_22A_SCDPT1!SCDPT1_041BEGINNG_8</vt:lpstr>
      <vt:lpstr>GMIC_22A_SCDPT1!SCDPT1_041BEGINNG_9</vt:lpstr>
      <vt:lpstr>GMIC_22A_SCDPT1!SCDPT1_041ENDINGG_10</vt:lpstr>
      <vt:lpstr>GMIC_22A_SCDPT1!SCDPT1_041ENDINGG_11</vt:lpstr>
      <vt:lpstr>GMIC_22A_SCDPT1!SCDPT1_041ENDINGG_12</vt:lpstr>
      <vt:lpstr>GMIC_22A_SCDPT1!SCDPT1_041ENDINGG_13</vt:lpstr>
      <vt:lpstr>GMIC_22A_SCDPT1!SCDPT1_041ENDINGG_14</vt:lpstr>
      <vt:lpstr>GMIC_22A_SCDPT1!SCDPT1_041ENDINGG_15</vt:lpstr>
      <vt:lpstr>GMIC_22A_SCDPT1!SCDPT1_041ENDINGG_16</vt:lpstr>
      <vt:lpstr>GMIC_22A_SCDPT1!SCDPT1_041ENDINGG_17</vt:lpstr>
      <vt:lpstr>GMIC_22A_SCDPT1!SCDPT1_041ENDINGG_18</vt:lpstr>
      <vt:lpstr>GMIC_22A_SCDPT1!SCDPT1_041ENDINGG_19</vt:lpstr>
      <vt:lpstr>GMIC_22A_SCDPT1!SCDPT1_041ENDINGG_2</vt:lpstr>
      <vt:lpstr>GMIC_22A_SCDPT1!SCDPT1_041ENDINGG_20</vt:lpstr>
      <vt:lpstr>GMIC_22A_SCDPT1!SCDPT1_041ENDINGG_21</vt:lpstr>
      <vt:lpstr>GMIC_22A_SCDPT1!SCDPT1_041ENDINGG_22</vt:lpstr>
      <vt:lpstr>GMIC_22A_SCDPT1!SCDPT1_041ENDINGG_23</vt:lpstr>
      <vt:lpstr>GMIC_22A_SCDPT1!SCDPT1_041ENDINGG_24</vt:lpstr>
      <vt:lpstr>GMIC_22A_SCDPT1!SCDPT1_041ENDINGG_25</vt:lpstr>
      <vt:lpstr>GMIC_22A_SCDPT1!SCDPT1_041ENDINGG_26</vt:lpstr>
      <vt:lpstr>GMIC_22A_SCDPT1!SCDPT1_041ENDINGG_27</vt:lpstr>
      <vt:lpstr>GMIC_22A_SCDPT1!SCDPT1_041ENDINGG_28</vt:lpstr>
      <vt:lpstr>GMIC_22A_SCDPT1!SCDPT1_041ENDINGG_29</vt:lpstr>
      <vt:lpstr>GMIC_22A_SCDPT1!SCDPT1_041ENDINGG_3</vt:lpstr>
      <vt:lpstr>GMIC_22A_SCDPT1!SCDPT1_041ENDINGG_30</vt:lpstr>
      <vt:lpstr>GMIC_22A_SCDPT1!SCDPT1_041ENDINGG_31</vt:lpstr>
      <vt:lpstr>GMIC_22A_SCDPT1!SCDPT1_041ENDINGG_32</vt:lpstr>
      <vt:lpstr>GMIC_22A_SCDPT1!SCDPT1_041ENDINGG_33</vt:lpstr>
      <vt:lpstr>GMIC_22A_SCDPT1!SCDPT1_041ENDINGG_34</vt:lpstr>
      <vt:lpstr>GMIC_22A_SCDPT1!SCDPT1_041ENDINGG_35</vt:lpstr>
      <vt:lpstr>GMIC_22A_SCDPT1!SCDPT1_041ENDINGG_36</vt:lpstr>
      <vt:lpstr>GMIC_22A_SCDPT1!SCDPT1_041ENDINGG_4</vt:lpstr>
      <vt:lpstr>GMIC_22A_SCDPT1!SCDPT1_041ENDINGG_5</vt:lpstr>
      <vt:lpstr>GMIC_22A_SCDPT1!SCDPT1_041ENDINGG_6.01</vt:lpstr>
      <vt:lpstr>GMIC_22A_SCDPT1!SCDPT1_041ENDINGG_6.02</vt:lpstr>
      <vt:lpstr>GMIC_22A_SCDPT1!SCDPT1_041ENDINGG_6.03</vt:lpstr>
      <vt:lpstr>GMIC_22A_SCDPT1!SCDPT1_041ENDINGG_7</vt:lpstr>
      <vt:lpstr>GMIC_22A_SCDPT1!SCDPT1_041ENDINGG_8</vt:lpstr>
      <vt:lpstr>GMIC_22A_SCDPT1!SCDPT1_041ENDINGG_9</vt:lpstr>
      <vt:lpstr>GMIC_22A_SCDPT1!SCDPT1_0420000000_Range</vt:lpstr>
      <vt:lpstr>GMIC_22A_SCDPT1!SCDPT1_0429999999_10</vt:lpstr>
      <vt:lpstr>GMIC_22A_SCDPT1!SCDPT1_0429999999_11</vt:lpstr>
      <vt:lpstr>GMIC_22A_SCDPT1!SCDPT1_0429999999_12</vt:lpstr>
      <vt:lpstr>GMIC_22A_SCDPT1!SCDPT1_0429999999_13</vt:lpstr>
      <vt:lpstr>GMIC_22A_SCDPT1!SCDPT1_0429999999_14</vt:lpstr>
      <vt:lpstr>GMIC_22A_SCDPT1!SCDPT1_0429999999_15</vt:lpstr>
      <vt:lpstr>GMIC_22A_SCDPT1!SCDPT1_0429999999_19</vt:lpstr>
      <vt:lpstr>GMIC_22A_SCDPT1!SCDPT1_0429999999_20</vt:lpstr>
      <vt:lpstr>GMIC_22A_SCDPT1!SCDPT1_0429999999_7</vt:lpstr>
      <vt:lpstr>GMIC_22A_SCDPT1!SCDPT1_0429999999_9</vt:lpstr>
      <vt:lpstr>GMIC_22A_SCDPT1!SCDPT1_042BEGINNG_1</vt:lpstr>
      <vt:lpstr>GMIC_22A_SCDPT1!SCDPT1_042BEGINNG_10</vt:lpstr>
      <vt:lpstr>GMIC_22A_SCDPT1!SCDPT1_042BEGINNG_11</vt:lpstr>
      <vt:lpstr>GMIC_22A_SCDPT1!SCDPT1_042BEGINNG_12</vt:lpstr>
      <vt:lpstr>GMIC_22A_SCDPT1!SCDPT1_042BEGINNG_13</vt:lpstr>
      <vt:lpstr>GMIC_22A_SCDPT1!SCDPT1_042BEGINNG_14</vt:lpstr>
      <vt:lpstr>GMIC_22A_SCDPT1!SCDPT1_042BEGINNG_15</vt:lpstr>
      <vt:lpstr>GMIC_22A_SCDPT1!SCDPT1_042BEGINNG_16</vt:lpstr>
      <vt:lpstr>GMIC_22A_SCDPT1!SCDPT1_042BEGINNG_17</vt:lpstr>
      <vt:lpstr>GMIC_22A_SCDPT1!SCDPT1_042BEGINNG_18</vt:lpstr>
      <vt:lpstr>GMIC_22A_SCDPT1!SCDPT1_042BEGINNG_19</vt:lpstr>
      <vt:lpstr>GMIC_22A_SCDPT1!SCDPT1_042BEGINNG_2</vt:lpstr>
      <vt:lpstr>GMIC_22A_SCDPT1!SCDPT1_042BEGINNG_20</vt:lpstr>
      <vt:lpstr>GMIC_22A_SCDPT1!SCDPT1_042BEGINNG_21</vt:lpstr>
      <vt:lpstr>GMIC_22A_SCDPT1!SCDPT1_042BEGINNG_22</vt:lpstr>
      <vt:lpstr>GMIC_22A_SCDPT1!SCDPT1_042BEGINNG_23</vt:lpstr>
      <vt:lpstr>GMIC_22A_SCDPT1!SCDPT1_042BEGINNG_24</vt:lpstr>
      <vt:lpstr>GMIC_22A_SCDPT1!SCDPT1_042BEGINNG_25</vt:lpstr>
      <vt:lpstr>GMIC_22A_SCDPT1!SCDPT1_042BEGINNG_26</vt:lpstr>
      <vt:lpstr>GMIC_22A_SCDPT1!SCDPT1_042BEGINNG_27</vt:lpstr>
      <vt:lpstr>GMIC_22A_SCDPT1!SCDPT1_042BEGINNG_28</vt:lpstr>
      <vt:lpstr>GMIC_22A_SCDPT1!SCDPT1_042BEGINNG_29</vt:lpstr>
      <vt:lpstr>GMIC_22A_SCDPT1!SCDPT1_042BEGINNG_3</vt:lpstr>
      <vt:lpstr>GMIC_22A_SCDPT1!SCDPT1_042BEGINNG_30</vt:lpstr>
      <vt:lpstr>GMIC_22A_SCDPT1!SCDPT1_042BEGINNG_31</vt:lpstr>
      <vt:lpstr>GMIC_22A_SCDPT1!SCDPT1_042BEGINNG_32</vt:lpstr>
      <vt:lpstr>GMIC_22A_SCDPT1!SCDPT1_042BEGINNG_33</vt:lpstr>
      <vt:lpstr>GMIC_22A_SCDPT1!SCDPT1_042BEGINNG_34</vt:lpstr>
      <vt:lpstr>GMIC_22A_SCDPT1!SCDPT1_042BEGINNG_35</vt:lpstr>
      <vt:lpstr>GMIC_22A_SCDPT1!SCDPT1_042BEGINNG_36</vt:lpstr>
      <vt:lpstr>GMIC_22A_SCDPT1!SCDPT1_042BEGINNG_4</vt:lpstr>
      <vt:lpstr>GMIC_22A_SCDPT1!SCDPT1_042BEGINNG_5</vt:lpstr>
      <vt:lpstr>GMIC_22A_SCDPT1!SCDPT1_042BEGINNG_6.01</vt:lpstr>
      <vt:lpstr>GMIC_22A_SCDPT1!SCDPT1_042BEGINNG_6.02</vt:lpstr>
      <vt:lpstr>GMIC_22A_SCDPT1!SCDPT1_042BEGINNG_6.03</vt:lpstr>
      <vt:lpstr>GMIC_22A_SCDPT1!SCDPT1_042BEGINNG_7</vt:lpstr>
      <vt:lpstr>GMIC_22A_SCDPT1!SCDPT1_042BEGINNG_8</vt:lpstr>
      <vt:lpstr>GMIC_22A_SCDPT1!SCDPT1_042BEGINNG_9</vt:lpstr>
      <vt:lpstr>GMIC_22A_SCDPT1!SCDPT1_042ENDINGG_10</vt:lpstr>
      <vt:lpstr>GMIC_22A_SCDPT1!SCDPT1_042ENDINGG_11</vt:lpstr>
      <vt:lpstr>GMIC_22A_SCDPT1!SCDPT1_042ENDINGG_12</vt:lpstr>
      <vt:lpstr>GMIC_22A_SCDPT1!SCDPT1_042ENDINGG_13</vt:lpstr>
      <vt:lpstr>GMIC_22A_SCDPT1!SCDPT1_042ENDINGG_14</vt:lpstr>
      <vt:lpstr>GMIC_22A_SCDPT1!SCDPT1_042ENDINGG_15</vt:lpstr>
      <vt:lpstr>GMIC_22A_SCDPT1!SCDPT1_042ENDINGG_16</vt:lpstr>
      <vt:lpstr>GMIC_22A_SCDPT1!SCDPT1_042ENDINGG_17</vt:lpstr>
      <vt:lpstr>GMIC_22A_SCDPT1!SCDPT1_042ENDINGG_18</vt:lpstr>
      <vt:lpstr>GMIC_22A_SCDPT1!SCDPT1_042ENDINGG_19</vt:lpstr>
      <vt:lpstr>GMIC_22A_SCDPT1!SCDPT1_042ENDINGG_2</vt:lpstr>
      <vt:lpstr>GMIC_22A_SCDPT1!SCDPT1_042ENDINGG_20</vt:lpstr>
      <vt:lpstr>GMIC_22A_SCDPT1!SCDPT1_042ENDINGG_21</vt:lpstr>
      <vt:lpstr>GMIC_22A_SCDPT1!SCDPT1_042ENDINGG_22</vt:lpstr>
      <vt:lpstr>GMIC_22A_SCDPT1!SCDPT1_042ENDINGG_23</vt:lpstr>
      <vt:lpstr>GMIC_22A_SCDPT1!SCDPT1_042ENDINGG_24</vt:lpstr>
      <vt:lpstr>GMIC_22A_SCDPT1!SCDPT1_042ENDINGG_25</vt:lpstr>
      <vt:lpstr>GMIC_22A_SCDPT1!SCDPT1_042ENDINGG_26</vt:lpstr>
      <vt:lpstr>GMIC_22A_SCDPT1!SCDPT1_042ENDINGG_27</vt:lpstr>
      <vt:lpstr>GMIC_22A_SCDPT1!SCDPT1_042ENDINGG_28</vt:lpstr>
      <vt:lpstr>GMIC_22A_SCDPT1!SCDPT1_042ENDINGG_29</vt:lpstr>
      <vt:lpstr>GMIC_22A_SCDPT1!SCDPT1_042ENDINGG_3</vt:lpstr>
      <vt:lpstr>GMIC_22A_SCDPT1!SCDPT1_042ENDINGG_30</vt:lpstr>
      <vt:lpstr>GMIC_22A_SCDPT1!SCDPT1_042ENDINGG_31</vt:lpstr>
      <vt:lpstr>GMIC_22A_SCDPT1!SCDPT1_042ENDINGG_32</vt:lpstr>
      <vt:lpstr>GMIC_22A_SCDPT1!SCDPT1_042ENDINGG_33</vt:lpstr>
      <vt:lpstr>GMIC_22A_SCDPT1!SCDPT1_042ENDINGG_34</vt:lpstr>
      <vt:lpstr>GMIC_22A_SCDPT1!SCDPT1_042ENDINGG_35</vt:lpstr>
      <vt:lpstr>GMIC_22A_SCDPT1!SCDPT1_042ENDINGG_36</vt:lpstr>
      <vt:lpstr>GMIC_22A_SCDPT1!SCDPT1_042ENDINGG_4</vt:lpstr>
      <vt:lpstr>GMIC_22A_SCDPT1!SCDPT1_042ENDINGG_5</vt:lpstr>
      <vt:lpstr>GMIC_22A_SCDPT1!SCDPT1_042ENDINGG_6.01</vt:lpstr>
      <vt:lpstr>GMIC_22A_SCDPT1!SCDPT1_042ENDINGG_6.02</vt:lpstr>
      <vt:lpstr>GMIC_22A_SCDPT1!SCDPT1_042ENDINGG_6.03</vt:lpstr>
      <vt:lpstr>GMIC_22A_SCDPT1!SCDPT1_042ENDINGG_7</vt:lpstr>
      <vt:lpstr>GMIC_22A_SCDPT1!SCDPT1_042ENDINGG_8</vt:lpstr>
      <vt:lpstr>GMIC_22A_SCDPT1!SCDPT1_042ENDINGG_9</vt:lpstr>
      <vt:lpstr>GMIC_22A_SCDPT1!SCDPT1_0430000000_Range</vt:lpstr>
      <vt:lpstr>GMIC_22A_SCDPT1!SCDPT1_0439999999_10</vt:lpstr>
      <vt:lpstr>GMIC_22A_SCDPT1!SCDPT1_0439999999_11</vt:lpstr>
      <vt:lpstr>GMIC_22A_SCDPT1!SCDPT1_0439999999_12</vt:lpstr>
      <vt:lpstr>GMIC_22A_SCDPT1!SCDPT1_0439999999_13</vt:lpstr>
      <vt:lpstr>GMIC_22A_SCDPT1!SCDPT1_0439999999_14</vt:lpstr>
      <vt:lpstr>GMIC_22A_SCDPT1!SCDPT1_0439999999_15</vt:lpstr>
      <vt:lpstr>GMIC_22A_SCDPT1!SCDPT1_0439999999_19</vt:lpstr>
      <vt:lpstr>GMIC_22A_SCDPT1!SCDPT1_0439999999_20</vt:lpstr>
      <vt:lpstr>GMIC_22A_SCDPT1!SCDPT1_0439999999_7</vt:lpstr>
      <vt:lpstr>GMIC_22A_SCDPT1!SCDPT1_0439999999_9</vt:lpstr>
      <vt:lpstr>GMIC_22A_SCDPT1!SCDPT1_043BEGINNG_1</vt:lpstr>
      <vt:lpstr>GMIC_22A_SCDPT1!SCDPT1_043BEGINNG_10</vt:lpstr>
      <vt:lpstr>GMIC_22A_SCDPT1!SCDPT1_043BEGINNG_11</vt:lpstr>
      <vt:lpstr>GMIC_22A_SCDPT1!SCDPT1_043BEGINNG_12</vt:lpstr>
      <vt:lpstr>GMIC_22A_SCDPT1!SCDPT1_043BEGINNG_13</vt:lpstr>
      <vt:lpstr>GMIC_22A_SCDPT1!SCDPT1_043BEGINNG_14</vt:lpstr>
      <vt:lpstr>GMIC_22A_SCDPT1!SCDPT1_043BEGINNG_15</vt:lpstr>
      <vt:lpstr>GMIC_22A_SCDPT1!SCDPT1_043BEGINNG_16</vt:lpstr>
      <vt:lpstr>GMIC_22A_SCDPT1!SCDPT1_043BEGINNG_17</vt:lpstr>
      <vt:lpstr>GMIC_22A_SCDPT1!SCDPT1_043BEGINNG_18</vt:lpstr>
      <vt:lpstr>GMIC_22A_SCDPT1!SCDPT1_043BEGINNG_19</vt:lpstr>
      <vt:lpstr>GMIC_22A_SCDPT1!SCDPT1_043BEGINNG_2</vt:lpstr>
      <vt:lpstr>GMIC_22A_SCDPT1!SCDPT1_043BEGINNG_20</vt:lpstr>
      <vt:lpstr>GMIC_22A_SCDPT1!SCDPT1_043BEGINNG_21</vt:lpstr>
      <vt:lpstr>GMIC_22A_SCDPT1!SCDPT1_043BEGINNG_22</vt:lpstr>
      <vt:lpstr>GMIC_22A_SCDPT1!SCDPT1_043BEGINNG_23</vt:lpstr>
      <vt:lpstr>GMIC_22A_SCDPT1!SCDPT1_043BEGINNG_24</vt:lpstr>
      <vt:lpstr>GMIC_22A_SCDPT1!SCDPT1_043BEGINNG_25</vt:lpstr>
      <vt:lpstr>GMIC_22A_SCDPT1!SCDPT1_043BEGINNG_26</vt:lpstr>
      <vt:lpstr>GMIC_22A_SCDPT1!SCDPT1_043BEGINNG_27</vt:lpstr>
      <vt:lpstr>GMIC_22A_SCDPT1!SCDPT1_043BEGINNG_28</vt:lpstr>
      <vt:lpstr>GMIC_22A_SCDPT1!SCDPT1_043BEGINNG_29</vt:lpstr>
      <vt:lpstr>GMIC_22A_SCDPT1!SCDPT1_043BEGINNG_3</vt:lpstr>
      <vt:lpstr>GMIC_22A_SCDPT1!SCDPT1_043BEGINNG_30</vt:lpstr>
      <vt:lpstr>GMIC_22A_SCDPT1!SCDPT1_043BEGINNG_31</vt:lpstr>
      <vt:lpstr>GMIC_22A_SCDPT1!SCDPT1_043BEGINNG_32</vt:lpstr>
      <vt:lpstr>GMIC_22A_SCDPT1!SCDPT1_043BEGINNG_33</vt:lpstr>
      <vt:lpstr>GMIC_22A_SCDPT1!SCDPT1_043BEGINNG_34</vt:lpstr>
      <vt:lpstr>GMIC_22A_SCDPT1!SCDPT1_043BEGINNG_35</vt:lpstr>
      <vt:lpstr>GMIC_22A_SCDPT1!SCDPT1_043BEGINNG_36</vt:lpstr>
      <vt:lpstr>GMIC_22A_SCDPT1!SCDPT1_043BEGINNG_4</vt:lpstr>
      <vt:lpstr>GMIC_22A_SCDPT1!SCDPT1_043BEGINNG_5</vt:lpstr>
      <vt:lpstr>GMIC_22A_SCDPT1!SCDPT1_043BEGINNG_6.01</vt:lpstr>
      <vt:lpstr>GMIC_22A_SCDPT1!SCDPT1_043BEGINNG_6.02</vt:lpstr>
      <vt:lpstr>GMIC_22A_SCDPT1!SCDPT1_043BEGINNG_6.03</vt:lpstr>
      <vt:lpstr>GMIC_22A_SCDPT1!SCDPT1_043BEGINNG_7</vt:lpstr>
      <vt:lpstr>GMIC_22A_SCDPT1!SCDPT1_043BEGINNG_8</vt:lpstr>
      <vt:lpstr>GMIC_22A_SCDPT1!SCDPT1_043BEGINNG_9</vt:lpstr>
      <vt:lpstr>GMIC_22A_SCDPT1!SCDPT1_043ENDINGG_10</vt:lpstr>
      <vt:lpstr>GMIC_22A_SCDPT1!SCDPT1_043ENDINGG_11</vt:lpstr>
      <vt:lpstr>GMIC_22A_SCDPT1!SCDPT1_043ENDINGG_12</vt:lpstr>
      <vt:lpstr>GMIC_22A_SCDPT1!SCDPT1_043ENDINGG_13</vt:lpstr>
      <vt:lpstr>GMIC_22A_SCDPT1!SCDPT1_043ENDINGG_14</vt:lpstr>
      <vt:lpstr>GMIC_22A_SCDPT1!SCDPT1_043ENDINGG_15</vt:lpstr>
      <vt:lpstr>GMIC_22A_SCDPT1!SCDPT1_043ENDINGG_16</vt:lpstr>
      <vt:lpstr>GMIC_22A_SCDPT1!SCDPT1_043ENDINGG_17</vt:lpstr>
      <vt:lpstr>GMIC_22A_SCDPT1!SCDPT1_043ENDINGG_18</vt:lpstr>
      <vt:lpstr>GMIC_22A_SCDPT1!SCDPT1_043ENDINGG_19</vt:lpstr>
      <vt:lpstr>GMIC_22A_SCDPT1!SCDPT1_043ENDINGG_2</vt:lpstr>
      <vt:lpstr>GMIC_22A_SCDPT1!SCDPT1_043ENDINGG_20</vt:lpstr>
      <vt:lpstr>GMIC_22A_SCDPT1!SCDPT1_043ENDINGG_21</vt:lpstr>
      <vt:lpstr>GMIC_22A_SCDPT1!SCDPT1_043ENDINGG_22</vt:lpstr>
      <vt:lpstr>GMIC_22A_SCDPT1!SCDPT1_043ENDINGG_23</vt:lpstr>
      <vt:lpstr>GMIC_22A_SCDPT1!SCDPT1_043ENDINGG_24</vt:lpstr>
      <vt:lpstr>GMIC_22A_SCDPT1!SCDPT1_043ENDINGG_25</vt:lpstr>
      <vt:lpstr>GMIC_22A_SCDPT1!SCDPT1_043ENDINGG_26</vt:lpstr>
      <vt:lpstr>GMIC_22A_SCDPT1!SCDPT1_043ENDINGG_27</vt:lpstr>
      <vt:lpstr>GMIC_22A_SCDPT1!SCDPT1_043ENDINGG_28</vt:lpstr>
      <vt:lpstr>GMIC_22A_SCDPT1!SCDPT1_043ENDINGG_29</vt:lpstr>
      <vt:lpstr>GMIC_22A_SCDPT1!SCDPT1_043ENDINGG_3</vt:lpstr>
      <vt:lpstr>GMIC_22A_SCDPT1!SCDPT1_043ENDINGG_30</vt:lpstr>
      <vt:lpstr>GMIC_22A_SCDPT1!SCDPT1_043ENDINGG_31</vt:lpstr>
      <vt:lpstr>GMIC_22A_SCDPT1!SCDPT1_043ENDINGG_32</vt:lpstr>
      <vt:lpstr>GMIC_22A_SCDPT1!SCDPT1_043ENDINGG_33</vt:lpstr>
      <vt:lpstr>GMIC_22A_SCDPT1!SCDPT1_043ENDINGG_34</vt:lpstr>
      <vt:lpstr>GMIC_22A_SCDPT1!SCDPT1_043ENDINGG_35</vt:lpstr>
      <vt:lpstr>GMIC_22A_SCDPT1!SCDPT1_043ENDINGG_36</vt:lpstr>
      <vt:lpstr>GMIC_22A_SCDPT1!SCDPT1_043ENDINGG_4</vt:lpstr>
      <vt:lpstr>GMIC_22A_SCDPT1!SCDPT1_043ENDINGG_5</vt:lpstr>
      <vt:lpstr>GMIC_22A_SCDPT1!SCDPT1_043ENDINGG_6.01</vt:lpstr>
      <vt:lpstr>GMIC_22A_SCDPT1!SCDPT1_043ENDINGG_6.02</vt:lpstr>
      <vt:lpstr>GMIC_22A_SCDPT1!SCDPT1_043ENDINGG_6.03</vt:lpstr>
      <vt:lpstr>GMIC_22A_SCDPT1!SCDPT1_043ENDINGG_7</vt:lpstr>
      <vt:lpstr>GMIC_22A_SCDPT1!SCDPT1_043ENDINGG_8</vt:lpstr>
      <vt:lpstr>GMIC_22A_SCDPT1!SCDPT1_043ENDINGG_9</vt:lpstr>
      <vt:lpstr>GMIC_22A_SCDPT1!SCDPT1_0440000000_Range</vt:lpstr>
      <vt:lpstr>GMIC_22A_SCDPT1!SCDPT1_0449999999_10</vt:lpstr>
      <vt:lpstr>GMIC_22A_SCDPT1!SCDPT1_0449999999_11</vt:lpstr>
      <vt:lpstr>GMIC_22A_SCDPT1!SCDPT1_0449999999_12</vt:lpstr>
      <vt:lpstr>GMIC_22A_SCDPT1!SCDPT1_0449999999_13</vt:lpstr>
      <vt:lpstr>GMIC_22A_SCDPT1!SCDPT1_0449999999_14</vt:lpstr>
      <vt:lpstr>GMIC_22A_SCDPT1!SCDPT1_0449999999_15</vt:lpstr>
      <vt:lpstr>GMIC_22A_SCDPT1!SCDPT1_0449999999_19</vt:lpstr>
      <vt:lpstr>GMIC_22A_SCDPT1!SCDPT1_0449999999_20</vt:lpstr>
      <vt:lpstr>GMIC_22A_SCDPT1!SCDPT1_0449999999_7</vt:lpstr>
      <vt:lpstr>GMIC_22A_SCDPT1!SCDPT1_0449999999_9</vt:lpstr>
      <vt:lpstr>GMIC_22A_SCDPT1!SCDPT1_044BEGINNG_1</vt:lpstr>
      <vt:lpstr>GMIC_22A_SCDPT1!SCDPT1_044BEGINNG_10</vt:lpstr>
      <vt:lpstr>GMIC_22A_SCDPT1!SCDPT1_044BEGINNG_11</vt:lpstr>
      <vt:lpstr>GMIC_22A_SCDPT1!SCDPT1_044BEGINNG_12</vt:lpstr>
      <vt:lpstr>GMIC_22A_SCDPT1!SCDPT1_044BEGINNG_13</vt:lpstr>
      <vt:lpstr>GMIC_22A_SCDPT1!SCDPT1_044BEGINNG_14</vt:lpstr>
      <vt:lpstr>GMIC_22A_SCDPT1!SCDPT1_044BEGINNG_15</vt:lpstr>
      <vt:lpstr>GMIC_22A_SCDPT1!SCDPT1_044BEGINNG_16</vt:lpstr>
      <vt:lpstr>GMIC_22A_SCDPT1!SCDPT1_044BEGINNG_17</vt:lpstr>
      <vt:lpstr>GMIC_22A_SCDPT1!SCDPT1_044BEGINNG_18</vt:lpstr>
      <vt:lpstr>GMIC_22A_SCDPT1!SCDPT1_044BEGINNG_19</vt:lpstr>
      <vt:lpstr>GMIC_22A_SCDPT1!SCDPT1_044BEGINNG_2</vt:lpstr>
      <vt:lpstr>GMIC_22A_SCDPT1!SCDPT1_044BEGINNG_20</vt:lpstr>
      <vt:lpstr>GMIC_22A_SCDPT1!SCDPT1_044BEGINNG_21</vt:lpstr>
      <vt:lpstr>GMIC_22A_SCDPT1!SCDPT1_044BEGINNG_22</vt:lpstr>
      <vt:lpstr>GMIC_22A_SCDPT1!SCDPT1_044BEGINNG_23</vt:lpstr>
      <vt:lpstr>GMIC_22A_SCDPT1!SCDPT1_044BEGINNG_24</vt:lpstr>
      <vt:lpstr>GMIC_22A_SCDPT1!SCDPT1_044BEGINNG_25</vt:lpstr>
      <vt:lpstr>GMIC_22A_SCDPT1!SCDPT1_044BEGINNG_26</vt:lpstr>
      <vt:lpstr>GMIC_22A_SCDPT1!SCDPT1_044BEGINNG_27</vt:lpstr>
      <vt:lpstr>GMIC_22A_SCDPT1!SCDPT1_044BEGINNG_28</vt:lpstr>
      <vt:lpstr>GMIC_22A_SCDPT1!SCDPT1_044BEGINNG_29</vt:lpstr>
      <vt:lpstr>GMIC_22A_SCDPT1!SCDPT1_044BEGINNG_3</vt:lpstr>
      <vt:lpstr>GMIC_22A_SCDPT1!SCDPT1_044BEGINNG_30</vt:lpstr>
      <vt:lpstr>GMIC_22A_SCDPT1!SCDPT1_044BEGINNG_31</vt:lpstr>
      <vt:lpstr>GMIC_22A_SCDPT1!SCDPT1_044BEGINNG_32</vt:lpstr>
      <vt:lpstr>GMIC_22A_SCDPT1!SCDPT1_044BEGINNG_33</vt:lpstr>
      <vt:lpstr>GMIC_22A_SCDPT1!SCDPT1_044BEGINNG_34</vt:lpstr>
      <vt:lpstr>GMIC_22A_SCDPT1!SCDPT1_044BEGINNG_35</vt:lpstr>
      <vt:lpstr>GMIC_22A_SCDPT1!SCDPT1_044BEGINNG_36</vt:lpstr>
      <vt:lpstr>GMIC_22A_SCDPT1!SCDPT1_044BEGINNG_4</vt:lpstr>
      <vt:lpstr>GMIC_22A_SCDPT1!SCDPT1_044BEGINNG_5</vt:lpstr>
      <vt:lpstr>GMIC_22A_SCDPT1!SCDPT1_044BEGINNG_6.01</vt:lpstr>
      <vt:lpstr>GMIC_22A_SCDPT1!SCDPT1_044BEGINNG_6.02</vt:lpstr>
      <vt:lpstr>GMIC_22A_SCDPT1!SCDPT1_044BEGINNG_6.03</vt:lpstr>
      <vt:lpstr>GMIC_22A_SCDPT1!SCDPT1_044BEGINNG_7</vt:lpstr>
      <vt:lpstr>GMIC_22A_SCDPT1!SCDPT1_044BEGINNG_8</vt:lpstr>
      <vt:lpstr>GMIC_22A_SCDPT1!SCDPT1_044BEGINNG_9</vt:lpstr>
      <vt:lpstr>GMIC_22A_SCDPT1!SCDPT1_044ENDINGG_10</vt:lpstr>
      <vt:lpstr>GMIC_22A_SCDPT1!SCDPT1_044ENDINGG_11</vt:lpstr>
      <vt:lpstr>GMIC_22A_SCDPT1!SCDPT1_044ENDINGG_12</vt:lpstr>
      <vt:lpstr>GMIC_22A_SCDPT1!SCDPT1_044ENDINGG_13</vt:lpstr>
      <vt:lpstr>GMIC_22A_SCDPT1!SCDPT1_044ENDINGG_14</vt:lpstr>
      <vt:lpstr>GMIC_22A_SCDPT1!SCDPT1_044ENDINGG_15</vt:lpstr>
      <vt:lpstr>GMIC_22A_SCDPT1!SCDPT1_044ENDINGG_16</vt:lpstr>
      <vt:lpstr>GMIC_22A_SCDPT1!SCDPT1_044ENDINGG_17</vt:lpstr>
      <vt:lpstr>GMIC_22A_SCDPT1!SCDPT1_044ENDINGG_18</vt:lpstr>
      <vt:lpstr>GMIC_22A_SCDPT1!SCDPT1_044ENDINGG_19</vt:lpstr>
      <vt:lpstr>GMIC_22A_SCDPT1!SCDPT1_044ENDINGG_2</vt:lpstr>
      <vt:lpstr>GMIC_22A_SCDPT1!SCDPT1_044ENDINGG_20</vt:lpstr>
      <vt:lpstr>GMIC_22A_SCDPT1!SCDPT1_044ENDINGG_21</vt:lpstr>
      <vt:lpstr>GMIC_22A_SCDPT1!SCDPT1_044ENDINGG_22</vt:lpstr>
      <vt:lpstr>GMIC_22A_SCDPT1!SCDPT1_044ENDINGG_23</vt:lpstr>
      <vt:lpstr>GMIC_22A_SCDPT1!SCDPT1_044ENDINGG_24</vt:lpstr>
      <vt:lpstr>GMIC_22A_SCDPT1!SCDPT1_044ENDINGG_25</vt:lpstr>
      <vt:lpstr>GMIC_22A_SCDPT1!SCDPT1_044ENDINGG_26</vt:lpstr>
      <vt:lpstr>GMIC_22A_SCDPT1!SCDPT1_044ENDINGG_27</vt:lpstr>
      <vt:lpstr>GMIC_22A_SCDPT1!SCDPT1_044ENDINGG_28</vt:lpstr>
      <vt:lpstr>GMIC_22A_SCDPT1!SCDPT1_044ENDINGG_29</vt:lpstr>
      <vt:lpstr>GMIC_22A_SCDPT1!SCDPT1_044ENDINGG_3</vt:lpstr>
      <vt:lpstr>GMIC_22A_SCDPT1!SCDPT1_044ENDINGG_30</vt:lpstr>
      <vt:lpstr>GMIC_22A_SCDPT1!SCDPT1_044ENDINGG_31</vt:lpstr>
      <vt:lpstr>GMIC_22A_SCDPT1!SCDPT1_044ENDINGG_32</vt:lpstr>
      <vt:lpstr>GMIC_22A_SCDPT1!SCDPT1_044ENDINGG_33</vt:lpstr>
      <vt:lpstr>GMIC_22A_SCDPT1!SCDPT1_044ENDINGG_34</vt:lpstr>
      <vt:lpstr>GMIC_22A_SCDPT1!SCDPT1_044ENDINGG_35</vt:lpstr>
      <vt:lpstr>GMIC_22A_SCDPT1!SCDPT1_044ENDINGG_36</vt:lpstr>
      <vt:lpstr>GMIC_22A_SCDPT1!SCDPT1_044ENDINGG_4</vt:lpstr>
      <vt:lpstr>GMIC_22A_SCDPT1!SCDPT1_044ENDINGG_5</vt:lpstr>
      <vt:lpstr>GMIC_22A_SCDPT1!SCDPT1_044ENDINGG_6.01</vt:lpstr>
      <vt:lpstr>GMIC_22A_SCDPT1!SCDPT1_044ENDINGG_6.02</vt:lpstr>
      <vt:lpstr>GMIC_22A_SCDPT1!SCDPT1_044ENDINGG_6.03</vt:lpstr>
      <vt:lpstr>GMIC_22A_SCDPT1!SCDPT1_044ENDINGG_7</vt:lpstr>
      <vt:lpstr>GMIC_22A_SCDPT1!SCDPT1_044ENDINGG_8</vt:lpstr>
      <vt:lpstr>GMIC_22A_SCDPT1!SCDPT1_044ENDINGG_9</vt:lpstr>
      <vt:lpstr>GMIC_22A_SCDPT1!SCDPT1_0509999999_10</vt:lpstr>
      <vt:lpstr>GMIC_22A_SCDPT1!SCDPT1_0509999999_11</vt:lpstr>
      <vt:lpstr>GMIC_22A_SCDPT1!SCDPT1_0509999999_12</vt:lpstr>
      <vt:lpstr>GMIC_22A_SCDPT1!SCDPT1_0509999999_13</vt:lpstr>
      <vt:lpstr>GMIC_22A_SCDPT1!SCDPT1_0509999999_14</vt:lpstr>
      <vt:lpstr>GMIC_22A_SCDPT1!SCDPT1_0509999999_15</vt:lpstr>
      <vt:lpstr>GMIC_22A_SCDPT1!SCDPT1_0509999999_19</vt:lpstr>
      <vt:lpstr>GMIC_22A_SCDPT1!SCDPT1_0509999999_20</vt:lpstr>
      <vt:lpstr>GMIC_22A_SCDPT1!SCDPT1_0509999999_7</vt:lpstr>
      <vt:lpstr>GMIC_22A_SCDPT1!SCDPT1_0509999999_9</vt:lpstr>
      <vt:lpstr>GMIC_22A_SCDPT1!SCDPT1_0610000000_Range</vt:lpstr>
      <vt:lpstr>GMIC_22A_SCDPT1!SCDPT1_0610000001_1</vt:lpstr>
      <vt:lpstr>GMIC_22A_SCDPT1!SCDPT1_0610000001_10</vt:lpstr>
      <vt:lpstr>GMIC_22A_SCDPT1!SCDPT1_0610000001_11</vt:lpstr>
      <vt:lpstr>GMIC_22A_SCDPT1!SCDPT1_0610000001_12</vt:lpstr>
      <vt:lpstr>GMIC_22A_SCDPT1!SCDPT1_0610000001_13</vt:lpstr>
      <vt:lpstr>GMIC_22A_SCDPT1!SCDPT1_0610000001_14</vt:lpstr>
      <vt:lpstr>GMIC_22A_SCDPT1!SCDPT1_0610000001_15</vt:lpstr>
      <vt:lpstr>GMIC_22A_SCDPT1!SCDPT1_0610000001_16</vt:lpstr>
      <vt:lpstr>GMIC_22A_SCDPT1!SCDPT1_0610000001_17</vt:lpstr>
      <vt:lpstr>GMIC_22A_SCDPT1!SCDPT1_0610000001_18</vt:lpstr>
      <vt:lpstr>GMIC_22A_SCDPT1!SCDPT1_0610000001_19</vt:lpstr>
      <vt:lpstr>GMIC_22A_SCDPT1!SCDPT1_0610000001_2</vt:lpstr>
      <vt:lpstr>GMIC_22A_SCDPT1!SCDPT1_0610000001_20</vt:lpstr>
      <vt:lpstr>GMIC_22A_SCDPT1!SCDPT1_0610000001_21</vt:lpstr>
      <vt:lpstr>GMIC_22A_SCDPT1!SCDPT1_0610000001_22</vt:lpstr>
      <vt:lpstr>GMIC_22A_SCDPT1!SCDPT1_0610000001_23</vt:lpstr>
      <vt:lpstr>GMIC_22A_SCDPT1!SCDPT1_0610000001_24</vt:lpstr>
      <vt:lpstr>GMIC_22A_SCDPT1!SCDPT1_0610000001_25</vt:lpstr>
      <vt:lpstr>GMIC_22A_SCDPT1!SCDPT1_0610000001_27</vt:lpstr>
      <vt:lpstr>GMIC_22A_SCDPT1!SCDPT1_0610000001_28</vt:lpstr>
      <vt:lpstr>GMIC_22A_SCDPT1!SCDPT1_0610000001_29</vt:lpstr>
      <vt:lpstr>GMIC_22A_SCDPT1!SCDPT1_0610000001_3</vt:lpstr>
      <vt:lpstr>GMIC_22A_SCDPT1!SCDPT1_0610000001_30</vt:lpstr>
      <vt:lpstr>GMIC_22A_SCDPT1!SCDPT1_0610000001_31</vt:lpstr>
      <vt:lpstr>GMIC_22A_SCDPT1!SCDPT1_0610000001_32</vt:lpstr>
      <vt:lpstr>GMIC_22A_SCDPT1!SCDPT1_0610000001_33</vt:lpstr>
      <vt:lpstr>GMIC_22A_SCDPT1!SCDPT1_0610000001_34</vt:lpstr>
      <vt:lpstr>GMIC_22A_SCDPT1!SCDPT1_0610000001_35</vt:lpstr>
      <vt:lpstr>GMIC_22A_SCDPT1!SCDPT1_0610000001_36</vt:lpstr>
      <vt:lpstr>GMIC_22A_SCDPT1!SCDPT1_0610000001_4</vt:lpstr>
      <vt:lpstr>GMIC_22A_SCDPT1!SCDPT1_0610000001_5</vt:lpstr>
      <vt:lpstr>GMIC_22A_SCDPT1!SCDPT1_0610000001_6.01</vt:lpstr>
      <vt:lpstr>GMIC_22A_SCDPT1!SCDPT1_0610000001_6.02</vt:lpstr>
      <vt:lpstr>GMIC_22A_SCDPT1!SCDPT1_0610000001_6.03</vt:lpstr>
      <vt:lpstr>GMIC_22A_SCDPT1!SCDPT1_0610000001_7</vt:lpstr>
      <vt:lpstr>GMIC_22A_SCDPT1!SCDPT1_0610000001_8</vt:lpstr>
      <vt:lpstr>GMIC_22A_SCDPT1!SCDPT1_0610000001_9</vt:lpstr>
      <vt:lpstr>GMIC_22A_SCDPT1!SCDPT1_0619999999_10</vt:lpstr>
      <vt:lpstr>GMIC_22A_SCDPT1!SCDPT1_0619999999_11</vt:lpstr>
      <vt:lpstr>GMIC_22A_SCDPT1!SCDPT1_0619999999_12</vt:lpstr>
      <vt:lpstr>GMIC_22A_SCDPT1!SCDPT1_0619999999_13</vt:lpstr>
      <vt:lpstr>GMIC_22A_SCDPT1!SCDPT1_0619999999_14</vt:lpstr>
      <vt:lpstr>GMIC_22A_SCDPT1!SCDPT1_0619999999_15</vt:lpstr>
      <vt:lpstr>GMIC_22A_SCDPT1!SCDPT1_0619999999_19</vt:lpstr>
      <vt:lpstr>GMIC_22A_SCDPT1!SCDPT1_0619999999_20</vt:lpstr>
      <vt:lpstr>GMIC_22A_SCDPT1!SCDPT1_0619999999_7</vt:lpstr>
      <vt:lpstr>GMIC_22A_SCDPT1!SCDPT1_0619999999_9</vt:lpstr>
      <vt:lpstr>GMIC_22A_SCDPT1!SCDPT1_061BEGINNG_1</vt:lpstr>
      <vt:lpstr>GMIC_22A_SCDPT1!SCDPT1_061BEGINNG_10</vt:lpstr>
      <vt:lpstr>GMIC_22A_SCDPT1!SCDPT1_061BEGINNG_11</vt:lpstr>
      <vt:lpstr>GMIC_22A_SCDPT1!SCDPT1_061BEGINNG_12</vt:lpstr>
      <vt:lpstr>GMIC_22A_SCDPT1!SCDPT1_061BEGINNG_13</vt:lpstr>
      <vt:lpstr>GMIC_22A_SCDPT1!SCDPT1_061BEGINNG_14</vt:lpstr>
      <vt:lpstr>GMIC_22A_SCDPT1!SCDPT1_061BEGINNG_15</vt:lpstr>
      <vt:lpstr>GMIC_22A_SCDPT1!SCDPT1_061BEGINNG_16</vt:lpstr>
      <vt:lpstr>GMIC_22A_SCDPT1!SCDPT1_061BEGINNG_17</vt:lpstr>
      <vt:lpstr>GMIC_22A_SCDPT1!SCDPT1_061BEGINNG_18</vt:lpstr>
      <vt:lpstr>GMIC_22A_SCDPT1!SCDPT1_061BEGINNG_19</vt:lpstr>
      <vt:lpstr>GMIC_22A_SCDPT1!SCDPT1_061BEGINNG_2</vt:lpstr>
      <vt:lpstr>GMIC_22A_SCDPT1!SCDPT1_061BEGINNG_20</vt:lpstr>
      <vt:lpstr>GMIC_22A_SCDPT1!SCDPT1_061BEGINNG_21</vt:lpstr>
      <vt:lpstr>GMIC_22A_SCDPT1!SCDPT1_061BEGINNG_22</vt:lpstr>
      <vt:lpstr>GMIC_22A_SCDPT1!SCDPT1_061BEGINNG_23</vt:lpstr>
      <vt:lpstr>GMIC_22A_SCDPT1!SCDPT1_061BEGINNG_24</vt:lpstr>
      <vt:lpstr>GMIC_22A_SCDPT1!SCDPT1_061BEGINNG_25</vt:lpstr>
      <vt:lpstr>GMIC_22A_SCDPT1!SCDPT1_061BEGINNG_26</vt:lpstr>
      <vt:lpstr>GMIC_22A_SCDPT1!SCDPT1_061BEGINNG_27</vt:lpstr>
      <vt:lpstr>GMIC_22A_SCDPT1!SCDPT1_061BEGINNG_28</vt:lpstr>
      <vt:lpstr>GMIC_22A_SCDPT1!SCDPT1_061BEGINNG_29</vt:lpstr>
      <vt:lpstr>GMIC_22A_SCDPT1!SCDPT1_061BEGINNG_3</vt:lpstr>
      <vt:lpstr>GMIC_22A_SCDPT1!SCDPT1_061BEGINNG_30</vt:lpstr>
      <vt:lpstr>GMIC_22A_SCDPT1!SCDPT1_061BEGINNG_31</vt:lpstr>
      <vt:lpstr>GMIC_22A_SCDPT1!SCDPT1_061BEGINNG_32</vt:lpstr>
      <vt:lpstr>GMIC_22A_SCDPT1!SCDPT1_061BEGINNG_33</vt:lpstr>
      <vt:lpstr>GMIC_22A_SCDPT1!SCDPT1_061BEGINNG_34</vt:lpstr>
      <vt:lpstr>GMIC_22A_SCDPT1!SCDPT1_061BEGINNG_35</vt:lpstr>
      <vt:lpstr>GMIC_22A_SCDPT1!SCDPT1_061BEGINNG_36</vt:lpstr>
      <vt:lpstr>GMIC_22A_SCDPT1!SCDPT1_061BEGINNG_4</vt:lpstr>
      <vt:lpstr>GMIC_22A_SCDPT1!SCDPT1_061BEGINNG_5</vt:lpstr>
      <vt:lpstr>GMIC_22A_SCDPT1!SCDPT1_061BEGINNG_6.01</vt:lpstr>
      <vt:lpstr>GMIC_22A_SCDPT1!SCDPT1_061BEGINNG_6.02</vt:lpstr>
      <vt:lpstr>GMIC_22A_SCDPT1!SCDPT1_061BEGINNG_6.03</vt:lpstr>
      <vt:lpstr>GMIC_22A_SCDPT1!SCDPT1_061BEGINNG_7</vt:lpstr>
      <vt:lpstr>GMIC_22A_SCDPT1!SCDPT1_061BEGINNG_8</vt:lpstr>
      <vt:lpstr>GMIC_22A_SCDPT1!SCDPT1_061BEGINNG_9</vt:lpstr>
      <vt:lpstr>GMIC_22A_SCDPT1!SCDPT1_061ENDINGG_10</vt:lpstr>
      <vt:lpstr>GMIC_22A_SCDPT1!SCDPT1_061ENDINGG_11</vt:lpstr>
      <vt:lpstr>GMIC_22A_SCDPT1!SCDPT1_061ENDINGG_12</vt:lpstr>
      <vt:lpstr>GMIC_22A_SCDPT1!SCDPT1_061ENDINGG_13</vt:lpstr>
      <vt:lpstr>GMIC_22A_SCDPT1!SCDPT1_061ENDINGG_14</vt:lpstr>
      <vt:lpstr>GMIC_22A_SCDPT1!SCDPT1_061ENDINGG_15</vt:lpstr>
      <vt:lpstr>GMIC_22A_SCDPT1!SCDPT1_061ENDINGG_16</vt:lpstr>
      <vt:lpstr>GMIC_22A_SCDPT1!SCDPT1_061ENDINGG_17</vt:lpstr>
      <vt:lpstr>GMIC_22A_SCDPT1!SCDPT1_061ENDINGG_18</vt:lpstr>
      <vt:lpstr>GMIC_22A_SCDPT1!SCDPT1_061ENDINGG_19</vt:lpstr>
      <vt:lpstr>GMIC_22A_SCDPT1!SCDPT1_061ENDINGG_2</vt:lpstr>
      <vt:lpstr>GMIC_22A_SCDPT1!SCDPT1_061ENDINGG_20</vt:lpstr>
      <vt:lpstr>GMIC_22A_SCDPT1!SCDPT1_061ENDINGG_21</vt:lpstr>
      <vt:lpstr>GMIC_22A_SCDPT1!SCDPT1_061ENDINGG_22</vt:lpstr>
      <vt:lpstr>GMIC_22A_SCDPT1!SCDPT1_061ENDINGG_23</vt:lpstr>
      <vt:lpstr>GMIC_22A_SCDPT1!SCDPT1_061ENDINGG_24</vt:lpstr>
      <vt:lpstr>GMIC_22A_SCDPT1!SCDPT1_061ENDINGG_25</vt:lpstr>
      <vt:lpstr>GMIC_22A_SCDPT1!SCDPT1_061ENDINGG_26</vt:lpstr>
      <vt:lpstr>GMIC_22A_SCDPT1!SCDPT1_061ENDINGG_27</vt:lpstr>
      <vt:lpstr>GMIC_22A_SCDPT1!SCDPT1_061ENDINGG_28</vt:lpstr>
      <vt:lpstr>GMIC_22A_SCDPT1!SCDPT1_061ENDINGG_29</vt:lpstr>
      <vt:lpstr>GMIC_22A_SCDPT1!SCDPT1_061ENDINGG_3</vt:lpstr>
      <vt:lpstr>GMIC_22A_SCDPT1!SCDPT1_061ENDINGG_30</vt:lpstr>
      <vt:lpstr>GMIC_22A_SCDPT1!SCDPT1_061ENDINGG_31</vt:lpstr>
      <vt:lpstr>GMIC_22A_SCDPT1!SCDPT1_061ENDINGG_32</vt:lpstr>
      <vt:lpstr>GMIC_22A_SCDPT1!SCDPT1_061ENDINGG_33</vt:lpstr>
      <vt:lpstr>GMIC_22A_SCDPT1!SCDPT1_061ENDINGG_34</vt:lpstr>
      <vt:lpstr>GMIC_22A_SCDPT1!SCDPT1_061ENDINGG_35</vt:lpstr>
      <vt:lpstr>GMIC_22A_SCDPT1!SCDPT1_061ENDINGG_36</vt:lpstr>
      <vt:lpstr>GMIC_22A_SCDPT1!SCDPT1_061ENDINGG_4</vt:lpstr>
      <vt:lpstr>GMIC_22A_SCDPT1!SCDPT1_061ENDINGG_5</vt:lpstr>
      <vt:lpstr>GMIC_22A_SCDPT1!SCDPT1_061ENDINGG_6.01</vt:lpstr>
      <vt:lpstr>GMIC_22A_SCDPT1!SCDPT1_061ENDINGG_6.02</vt:lpstr>
      <vt:lpstr>GMIC_22A_SCDPT1!SCDPT1_061ENDINGG_6.03</vt:lpstr>
      <vt:lpstr>GMIC_22A_SCDPT1!SCDPT1_061ENDINGG_7</vt:lpstr>
      <vt:lpstr>GMIC_22A_SCDPT1!SCDPT1_061ENDINGG_8</vt:lpstr>
      <vt:lpstr>GMIC_22A_SCDPT1!SCDPT1_061ENDINGG_9</vt:lpstr>
      <vt:lpstr>GMIC_22A_SCDPT1!SCDPT1_0620000000_Range</vt:lpstr>
      <vt:lpstr>GMIC_22A_SCDPT1!SCDPT1_0629999999_10</vt:lpstr>
      <vt:lpstr>GMIC_22A_SCDPT1!SCDPT1_0629999999_11</vt:lpstr>
      <vt:lpstr>GMIC_22A_SCDPT1!SCDPT1_0629999999_12</vt:lpstr>
      <vt:lpstr>GMIC_22A_SCDPT1!SCDPT1_0629999999_13</vt:lpstr>
      <vt:lpstr>GMIC_22A_SCDPT1!SCDPT1_0629999999_14</vt:lpstr>
      <vt:lpstr>GMIC_22A_SCDPT1!SCDPT1_0629999999_15</vt:lpstr>
      <vt:lpstr>GMIC_22A_SCDPT1!SCDPT1_0629999999_19</vt:lpstr>
      <vt:lpstr>GMIC_22A_SCDPT1!SCDPT1_0629999999_20</vt:lpstr>
      <vt:lpstr>GMIC_22A_SCDPT1!SCDPT1_0629999999_7</vt:lpstr>
      <vt:lpstr>GMIC_22A_SCDPT1!SCDPT1_0629999999_9</vt:lpstr>
      <vt:lpstr>GMIC_22A_SCDPT1!SCDPT1_062BEGINNG_1</vt:lpstr>
      <vt:lpstr>GMIC_22A_SCDPT1!SCDPT1_062BEGINNG_10</vt:lpstr>
      <vt:lpstr>GMIC_22A_SCDPT1!SCDPT1_062BEGINNG_11</vt:lpstr>
      <vt:lpstr>GMIC_22A_SCDPT1!SCDPT1_062BEGINNG_12</vt:lpstr>
      <vt:lpstr>GMIC_22A_SCDPT1!SCDPT1_062BEGINNG_13</vt:lpstr>
      <vt:lpstr>GMIC_22A_SCDPT1!SCDPT1_062BEGINNG_14</vt:lpstr>
      <vt:lpstr>GMIC_22A_SCDPT1!SCDPT1_062BEGINNG_15</vt:lpstr>
      <vt:lpstr>GMIC_22A_SCDPT1!SCDPT1_062BEGINNG_16</vt:lpstr>
      <vt:lpstr>GMIC_22A_SCDPT1!SCDPT1_062BEGINNG_17</vt:lpstr>
      <vt:lpstr>GMIC_22A_SCDPT1!SCDPT1_062BEGINNG_18</vt:lpstr>
      <vt:lpstr>GMIC_22A_SCDPT1!SCDPT1_062BEGINNG_19</vt:lpstr>
      <vt:lpstr>GMIC_22A_SCDPT1!SCDPT1_062BEGINNG_2</vt:lpstr>
      <vt:lpstr>GMIC_22A_SCDPT1!SCDPT1_062BEGINNG_20</vt:lpstr>
      <vt:lpstr>GMIC_22A_SCDPT1!SCDPT1_062BEGINNG_21</vt:lpstr>
      <vt:lpstr>GMIC_22A_SCDPT1!SCDPT1_062BEGINNG_22</vt:lpstr>
      <vt:lpstr>GMIC_22A_SCDPT1!SCDPT1_062BEGINNG_23</vt:lpstr>
      <vt:lpstr>GMIC_22A_SCDPT1!SCDPT1_062BEGINNG_24</vt:lpstr>
      <vt:lpstr>GMIC_22A_SCDPT1!SCDPT1_062BEGINNG_25</vt:lpstr>
      <vt:lpstr>GMIC_22A_SCDPT1!SCDPT1_062BEGINNG_26</vt:lpstr>
      <vt:lpstr>GMIC_22A_SCDPT1!SCDPT1_062BEGINNG_27</vt:lpstr>
      <vt:lpstr>GMIC_22A_SCDPT1!SCDPT1_062BEGINNG_28</vt:lpstr>
      <vt:lpstr>GMIC_22A_SCDPT1!SCDPT1_062BEGINNG_29</vt:lpstr>
      <vt:lpstr>GMIC_22A_SCDPT1!SCDPT1_062BEGINNG_3</vt:lpstr>
      <vt:lpstr>GMIC_22A_SCDPT1!SCDPT1_062BEGINNG_30</vt:lpstr>
      <vt:lpstr>GMIC_22A_SCDPT1!SCDPT1_062BEGINNG_31</vt:lpstr>
      <vt:lpstr>GMIC_22A_SCDPT1!SCDPT1_062BEGINNG_32</vt:lpstr>
      <vt:lpstr>GMIC_22A_SCDPT1!SCDPT1_062BEGINNG_33</vt:lpstr>
      <vt:lpstr>GMIC_22A_SCDPT1!SCDPT1_062BEGINNG_34</vt:lpstr>
      <vt:lpstr>GMIC_22A_SCDPT1!SCDPT1_062BEGINNG_35</vt:lpstr>
      <vt:lpstr>GMIC_22A_SCDPT1!SCDPT1_062BEGINNG_36</vt:lpstr>
      <vt:lpstr>GMIC_22A_SCDPT1!SCDPT1_062BEGINNG_4</vt:lpstr>
      <vt:lpstr>GMIC_22A_SCDPT1!SCDPT1_062BEGINNG_5</vt:lpstr>
      <vt:lpstr>GMIC_22A_SCDPT1!SCDPT1_062BEGINNG_6.01</vt:lpstr>
      <vt:lpstr>GMIC_22A_SCDPT1!SCDPT1_062BEGINNG_6.02</vt:lpstr>
      <vt:lpstr>GMIC_22A_SCDPT1!SCDPT1_062BEGINNG_6.03</vt:lpstr>
      <vt:lpstr>GMIC_22A_SCDPT1!SCDPT1_062BEGINNG_7</vt:lpstr>
      <vt:lpstr>GMIC_22A_SCDPT1!SCDPT1_062BEGINNG_8</vt:lpstr>
      <vt:lpstr>GMIC_22A_SCDPT1!SCDPT1_062BEGINNG_9</vt:lpstr>
      <vt:lpstr>GMIC_22A_SCDPT1!SCDPT1_062ENDINGG_10</vt:lpstr>
      <vt:lpstr>GMIC_22A_SCDPT1!SCDPT1_062ENDINGG_11</vt:lpstr>
      <vt:lpstr>GMIC_22A_SCDPT1!SCDPT1_062ENDINGG_12</vt:lpstr>
      <vt:lpstr>GMIC_22A_SCDPT1!SCDPT1_062ENDINGG_13</vt:lpstr>
      <vt:lpstr>GMIC_22A_SCDPT1!SCDPT1_062ENDINGG_14</vt:lpstr>
      <vt:lpstr>GMIC_22A_SCDPT1!SCDPT1_062ENDINGG_15</vt:lpstr>
      <vt:lpstr>GMIC_22A_SCDPT1!SCDPT1_062ENDINGG_16</vt:lpstr>
      <vt:lpstr>GMIC_22A_SCDPT1!SCDPT1_062ENDINGG_17</vt:lpstr>
      <vt:lpstr>GMIC_22A_SCDPT1!SCDPT1_062ENDINGG_18</vt:lpstr>
      <vt:lpstr>GMIC_22A_SCDPT1!SCDPT1_062ENDINGG_19</vt:lpstr>
      <vt:lpstr>GMIC_22A_SCDPT1!SCDPT1_062ENDINGG_2</vt:lpstr>
      <vt:lpstr>GMIC_22A_SCDPT1!SCDPT1_062ENDINGG_20</vt:lpstr>
      <vt:lpstr>GMIC_22A_SCDPT1!SCDPT1_062ENDINGG_21</vt:lpstr>
      <vt:lpstr>GMIC_22A_SCDPT1!SCDPT1_062ENDINGG_22</vt:lpstr>
      <vt:lpstr>GMIC_22A_SCDPT1!SCDPT1_062ENDINGG_23</vt:lpstr>
      <vt:lpstr>GMIC_22A_SCDPT1!SCDPT1_062ENDINGG_24</vt:lpstr>
      <vt:lpstr>GMIC_22A_SCDPT1!SCDPT1_062ENDINGG_25</vt:lpstr>
      <vt:lpstr>GMIC_22A_SCDPT1!SCDPT1_062ENDINGG_26</vt:lpstr>
      <vt:lpstr>GMIC_22A_SCDPT1!SCDPT1_062ENDINGG_27</vt:lpstr>
      <vt:lpstr>GMIC_22A_SCDPT1!SCDPT1_062ENDINGG_28</vt:lpstr>
      <vt:lpstr>GMIC_22A_SCDPT1!SCDPT1_062ENDINGG_29</vt:lpstr>
      <vt:lpstr>GMIC_22A_SCDPT1!SCDPT1_062ENDINGG_3</vt:lpstr>
      <vt:lpstr>GMIC_22A_SCDPT1!SCDPT1_062ENDINGG_30</vt:lpstr>
      <vt:lpstr>GMIC_22A_SCDPT1!SCDPT1_062ENDINGG_31</vt:lpstr>
      <vt:lpstr>GMIC_22A_SCDPT1!SCDPT1_062ENDINGG_32</vt:lpstr>
      <vt:lpstr>GMIC_22A_SCDPT1!SCDPT1_062ENDINGG_33</vt:lpstr>
      <vt:lpstr>GMIC_22A_SCDPT1!SCDPT1_062ENDINGG_34</vt:lpstr>
      <vt:lpstr>GMIC_22A_SCDPT1!SCDPT1_062ENDINGG_35</vt:lpstr>
      <vt:lpstr>GMIC_22A_SCDPT1!SCDPT1_062ENDINGG_36</vt:lpstr>
      <vt:lpstr>GMIC_22A_SCDPT1!SCDPT1_062ENDINGG_4</vt:lpstr>
      <vt:lpstr>GMIC_22A_SCDPT1!SCDPT1_062ENDINGG_5</vt:lpstr>
      <vt:lpstr>GMIC_22A_SCDPT1!SCDPT1_062ENDINGG_6.01</vt:lpstr>
      <vt:lpstr>GMIC_22A_SCDPT1!SCDPT1_062ENDINGG_6.02</vt:lpstr>
      <vt:lpstr>GMIC_22A_SCDPT1!SCDPT1_062ENDINGG_6.03</vt:lpstr>
      <vt:lpstr>GMIC_22A_SCDPT1!SCDPT1_062ENDINGG_7</vt:lpstr>
      <vt:lpstr>GMIC_22A_SCDPT1!SCDPT1_062ENDINGG_8</vt:lpstr>
      <vt:lpstr>GMIC_22A_SCDPT1!SCDPT1_062ENDINGG_9</vt:lpstr>
      <vt:lpstr>GMIC_22A_SCDPT1!SCDPT1_0630000000_Range</vt:lpstr>
      <vt:lpstr>GMIC_22A_SCDPT1!SCDPT1_0639999999_10</vt:lpstr>
      <vt:lpstr>GMIC_22A_SCDPT1!SCDPT1_0639999999_11</vt:lpstr>
      <vt:lpstr>GMIC_22A_SCDPT1!SCDPT1_0639999999_12</vt:lpstr>
      <vt:lpstr>GMIC_22A_SCDPT1!SCDPT1_0639999999_13</vt:lpstr>
      <vt:lpstr>GMIC_22A_SCDPT1!SCDPT1_0639999999_14</vt:lpstr>
      <vt:lpstr>GMIC_22A_SCDPT1!SCDPT1_0639999999_15</vt:lpstr>
      <vt:lpstr>GMIC_22A_SCDPT1!SCDPT1_0639999999_19</vt:lpstr>
      <vt:lpstr>GMIC_22A_SCDPT1!SCDPT1_0639999999_20</vt:lpstr>
      <vt:lpstr>GMIC_22A_SCDPT1!SCDPT1_0639999999_7</vt:lpstr>
      <vt:lpstr>GMIC_22A_SCDPT1!SCDPT1_0639999999_9</vt:lpstr>
      <vt:lpstr>GMIC_22A_SCDPT1!SCDPT1_063BEGINNG_1</vt:lpstr>
      <vt:lpstr>GMIC_22A_SCDPT1!SCDPT1_063BEGINNG_10</vt:lpstr>
      <vt:lpstr>GMIC_22A_SCDPT1!SCDPT1_063BEGINNG_11</vt:lpstr>
      <vt:lpstr>GMIC_22A_SCDPT1!SCDPT1_063BEGINNG_12</vt:lpstr>
      <vt:lpstr>GMIC_22A_SCDPT1!SCDPT1_063BEGINNG_13</vt:lpstr>
      <vt:lpstr>GMIC_22A_SCDPT1!SCDPT1_063BEGINNG_14</vt:lpstr>
      <vt:lpstr>GMIC_22A_SCDPT1!SCDPT1_063BEGINNG_15</vt:lpstr>
      <vt:lpstr>GMIC_22A_SCDPT1!SCDPT1_063BEGINNG_16</vt:lpstr>
      <vt:lpstr>GMIC_22A_SCDPT1!SCDPT1_063BEGINNG_17</vt:lpstr>
      <vt:lpstr>GMIC_22A_SCDPT1!SCDPT1_063BEGINNG_18</vt:lpstr>
      <vt:lpstr>GMIC_22A_SCDPT1!SCDPT1_063BEGINNG_19</vt:lpstr>
      <vt:lpstr>GMIC_22A_SCDPT1!SCDPT1_063BEGINNG_2</vt:lpstr>
      <vt:lpstr>GMIC_22A_SCDPT1!SCDPT1_063BEGINNG_20</vt:lpstr>
      <vt:lpstr>GMIC_22A_SCDPT1!SCDPT1_063BEGINNG_21</vt:lpstr>
      <vt:lpstr>GMIC_22A_SCDPT1!SCDPT1_063BEGINNG_22</vt:lpstr>
      <vt:lpstr>GMIC_22A_SCDPT1!SCDPT1_063BEGINNG_23</vt:lpstr>
      <vt:lpstr>GMIC_22A_SCDPT1!SCDPT1_063BEGINNG_24</vt:lpstr>
      <vt:lpstr>GMIC_22A_SCDPT1!SCDPT1_063BEGINNG_25</vt:lpstr>
      <vt:lpstr>GMIC_22A_SCDPT1!SCDPT1_063BEGINNG_26</vt:lpstr>
      <vt:lpstr>GMIC_22A_SCDPT1!SCDPT1_063BEGINNG_27</vt:lpstr>
      <vt:lpstr>GMIC_22A_SCDPT1!SCDPT1_063BEGINNG_28</vt:lpstr>
      <vt:lpstr>GMIC_22A_SCDPT1!SCDPT1_063BEGINNG_29</vt:lpstr>
      <vt:lpstr>GMIC_22A_SCDPT1!SCDPT1_063BEGINNG_3</vt:lpstr>
      <vt:lpstr>GMIC_22A_SCDPT1!SCDPT1_063BEGINNG_30</vt:lpstr>
      <vt:lpstr>GMIC_22A_SCDPT1!SCDPT1_063BEGINNG_31</vt:lpstr>
      <vt:lpstr>GMIC_22A_SCDPT1!SCDPT1_063BEGINNG_32</vt:lpstr>
      <vt:lpstr>GMIC_22A_SCDPT1!SCDPT1_063BEGINNG_33</vt:lpstr>
      <vt:lpstr>GMIC_22A_SCDPT1!SCDPT1_063BEGINNG_34</vt:lpstr>
      <vt:lpstr>GMIC_22A_SCDPT1!SCDPT1_063BEGINNG_35</vt:lpstr>
      <vt:lpstr>GMIC_22A_SCDPT1!SCDPT1_063BEGINNG_36</vt:lpstr>
      <vt:lpstr>GMIC_22A_SCDPT1!SCDPT1_063BEGINNG_4</vt:lpstr>
      <vt:lpstr>GMIC_22A_SCDPT1!SCDPT1_063BEGINNG_5</vt:lpstr>
      <vt:lpstr>GMIC_22A_SCDPT1!SCDPT1_063BEGINNG_6.01</vt:lpstr>
      <vt:lpstr>GMIC_22A_SCDPT1!SCDPT1_063BEGINNG_6.02</vt:lpstr>
      <vt:lpstr>GMIC_22A_SCDPT1!SCDPT1_063BEGINNG_6.03</vt:lpstr>
      <vt:lpstr>GMIC_22A_SCDPT1!SCDPT1_063BEGINNG_7</vt:lpstr>
      <vt:lpstr>GMIC_22A_SCDPT1!SCDPT1_063BEGINNG_8</vt:lpstr>
      <vt:lpstr>GMIC_22A_SCDPT1!SCDPT1_063BEGINNG_9</vt:lpstr>
      <vt:lpstr>GMIC_22A_SCDPT1!SCDPT1_063ENDINGG_10</vt:lpstr>
      <vt:lpstr>GMIC_22A_SCDPT1!SCDPT1_063ENDINGG_11</vt:lpstr>
      <vt:lpstr>GMIC_22A_SCDPT1!SCDPT1_063ENDINGG_12</vt:lpstr>
      <vt:lpstr>GMIC_22A_SCDPT1!SCDPT1_063ENDINGG_13</vt:lpstr>
      <vt:lpstr>GMIC_22A_SCDPT1!SCDPT1_063ENDINGG_14</vt:lpstr>
      <vt:lpstr>GMIC_22A_SCDPT1!SCDPT1_063ENDINGG_15</vt:lpstr>
      <vt:lpstr>GMIC_22A_SCDPT1!SCDPT1_063ENDINGG_16</vt:lpstr>
      <vt:lpstr>GMIC_22A_SCDPT1!SCDPT1_063ENDINGG_17</vt:lpstr>
      <vt:lpstr>GMIC_22A_SCDPT1!SCDPT1_063ENDINGG_18</vt:lpstr>
      <vt:lpstr>GMIC_22A_SCDPT1!SCDPT1_063ENDINGG_19</vt:lpstr>
      <vt:lpstr>GMIC_22A_SCDPT1!SCDPT1_063ENDINGG_2</vt:lpstr>
      <vt:lpstr>GMIC_22A_SCDPT1!SCDPT1_063ENDINGG_20</vt:lpstr>
      <vt:lpstr>GMIC_22A_SCDPT1!SCDPT1_063ENDINGG_21</vt:lpstr>
      <vt:lpstr>GMIC_22A_SCDPT1!SCDPT1_063ENDINGG_22</vt:lpstr>
      <vt:lpstr>GMIC_22A_SCDPT1!SCDPT1_063ENDINGG_23</vt:lpstr>
      <vt:lpstr>GMIC_22A_SCDPT1!SCDPT1_063ENDINGG_24</vt:lpstr>
      <vt:lpstr>GMIC_22A_SCDPT1!SCDPT1_063ENDINGG_25</vt:lpstr>
      <vt:lpstr>GMIC_22A_SCDPT1!SCDPT1_063ENDINGG_26</vt:lpstr>
      <vt:lpstr>GMIC_22A_SCDPT1!SCDPT1_063ENDINGG_27</vt:lpstr>
      <vt:lpstr>GMIC_22A_SCDPT1!SCDPT1_063ENDINGG_28</vt:lpstr>
      <vt:lpstr>GMIC_22A_SCDPT1!SCDPT1_063ENDINGG_29</vt:lpstr>
      <vt:lpstr>GMIC_22A_SCDPT1!SCDPT1_063ENDINGG_3</vt:lpstr>
      <vt:lpstr>GMIC_22A_SCDPT1!SCDPT1_063ENDINGG_30</vt:lpstr>
      <vt:lpstr>GMIC_22A_SCDPT1!SCDPT1_063ENDINGG_31</vt:lpstr>
      <vt:lpstr>GMIC_22A_SCDPT1!SCDPT1_063ENDINGG_32</vt:lpstr>
      <vt:lpstr>GMIC_22A_SCDPT1!SCDPT1_063ENDINGG_33</vt:lpstr>
      <vt:lpstr>GMIC_22A_SCDPT1!SCDPT1_063ENDINGG_34</vt:lpstr>
      <vt:lpstr>GMIC_22A_SCDPT1!SCDPT1_063ENDINGG_35</vt:lpstr>
      <vt:lpstr>GMIC_22A_SCDPT1!SCDPT1_063ENDINGG_36</vt:lpstr>
      <vt:lpstr>GMIC_22A_SCDPT1!SCDPT1_063ENDINGG_4</vt:lpstr>
      <vt:lpstr>GMIC_22A_SCDPT1!SCDPT1_063ENDINGG_5</vt:lpstr>
      <vt:lpstr>GMIC_22A_SCDPT1!SCDPT1_063ENDINGG_6.01</vt:lpstr>
      <vt:lpstr>GMIC_22A_SCDPT1!SCDPT1_063ENDINGG_6.02</vt:lpstr>
      <vt:lpstr>GMIC_22A_SCDPT1!SCDPT1_063ENDINGG_6.03</vt:lpstr>
      <vt:lpstr>GMIC_22A_SCDPT1!SCDPT1_063ENDINGG_7</vt:lpstr>
      <vt:lpstr>GMIC_22A_SCDPT1!SCDPT1_063ENDINGG_8</vt:lpstr>
      <vt:lpstr>GMIC_22A_SCDPT1!SCDPT1_063ENDINGG_9</vt:lpstr>
      <vt:lpstr>GMIC_22A_SCDPT1!SCDPT1_0640000000_Range</vt:lpstr>
      <vt:lpstr>GMIC_22A_SCDPT1!SCDPT1_0649999999_10</vt:lpstr>
      <vt:lpstr>GMIC_22A_SCDPT1!SCDPT1_0649999999_11</vt:lpstr>
      <vt:lpstr>GMIC_22A_SCDPT1!SCDPT1_0649999999_12</vt:lpstr>
      <vt:lpstr>GMIC_22A_SCDPT1!SCDPT1_0649999999_13</vt:lpstr>
      <vt:lpstr>GMIC_22A_SCDPT1!SCDPT1_0649999999_14</vt:lpstr>
      <vt:lpstr>GMIC_22A_SCDPT1!SCDPT1_0649999999_15</vt:lpstr>
      <vt:lpstr>GMIC_22A_SCDPT1!SCDPT1_0649999999_19</vt:lpstr>
      <vt:lpstr>GMIC_22A_SCDPT1!SCDPT1_0649999999_20</vt:lpstr>
      <vt:lpstr>GMIC_22A_SCDPT1!SCDPT1_0649999999_7</vt:lpstr>
      <vt:lpstr>GMIC_22A_SCDPT1!SCDPT1_0649999999_9</vt:lpstr>
      <vt:lpstr>GMIC_22A_SCDPT1!SCDPT1_064BEGINNG_1</vt:lpstr>
      <vt:lpstr>GMIC_22A_SCDPT1!SCDPT1_064BEGINNG_10</vt:lpstr>
      <vt:lpstr>GMIC_22A_SCDPT1!SCDPT1_064BEGINNG_11</vt:lpstr>
      <vt:lpstr>GMIC_22A_SCDPT1!SCDPT1_064BEGINNG_12</vt:lpstr>
      <vt:lpstr>GMIC_22A_SCDPT1!SCDPT1_064BEGINNG_13</vt:lpstr>
      <vt:lpstr>GMIC_22A_SCDPT1!SCDPT1_064BEGINNG_14</vt:lpstr>
      <vt:lpstr>GMIC_22A_SCDPT1!SCDPT1_064BEGINNG_15</vt:lpstr>
      <vt:lpstr>GMIC_22A_SCDPT1!SCDPT1_064BEGINNG_16</vt:lpstr>
      <vt:lpstr>GMIC_22A_SCDPT1!SCDPT1_064BEGINNG_17</vt:lpstr>
      <vt:lpstr>GMIC_22A_SCDPT1!SCDPT1_064BEGINNG_18</vt:lpstr>
      <vt:lpstr>GMIC_22A_SCDPT1!SCDPT1_064BEGINNG_19</vt:lpstr>
      <vt:lpstr>GMIC_22A_SCDPT1!SCDPT1_064BEGINNG_2</vt:lpstr>
      <vt:lpstr>GMIC_22A_SCDPT1!SCDPT1_064BEGINNG_20</vt:lpstr>
      <vt:lpstr>GMIC_22A_SCDPT1!SCDPT1_064BEGINNG_21</vt:lpstr>
      <vt:lpstr>GMIC_22A_SCDPT1!SCDPT1_064BEGINNG_22</vt:lpstr>
      <vt:lpstr>GMIC_22A_SCDPT1!SCDPT1_064BEGINNG_23</vt:lpstr>
      <vt:lpstr>GMIC_22A_SCDPT1!SCDPT1_064BEGINNG_24</vt:lpstr>
      <vt:lpstr>GMIC_22A_SCDPT1!SCDPT1_064BEGINNG_25</vt:lpstr>
      <vt:lpstr>GMIC_22A_SCDPT1!SCDPT1_064BEGINNG_26</vt:lpstr>
      <vt:lpstr>GMIC_22A_SCDPT1!SCDPT1_064BEGINNG_27</vt:lpstr>
      <vt:lpstr>GMIC_22A_SCDPT1!SCDPT1_064BEGINNG_28</vt:lpstr>
      <vt:lpstr>GMIC_22A_SCDPT1!SCDPT1_064BEGINNG_29</vt:lpstr>
      <vt:lpstr>GMIC_22A_SCDPT1!SCDPT1_064BEGINNG_3</vt:lpstr>
      <vt:lpstr>GMIC_22A_SCDPT1!SCDPT1_064BEGINNG_30</vt:lpstr>
      <vt:lpstr>GMIC_22A_SCDPT1!SCDPT1_064BEGINNG_31</vt:lpstr>
      <vt:lpstr>GMIC_22A_SCDPT1!SCDPT1_064BEGINNG_32</vt:lpstr>
      <vt:lpstr>GMIC_22A_SCDPT1!SCDPT1_064BEGINNG_33</vt:lpstr>
      <vt:lpstr>GMIC_22A_SCDPT1!SCDPT1_064BEGINNG_34</vt:lpstr>
      <vt:lpstr>GMIC_22A_SCDPT1!SCDPT1_064BEGINNG_35</vt:lpstr>
      <vt:lpstr>GMIC_22A_SCDPT1!SCDPT1_064BEGINNG_36</vt:lpstr>
      <vt:lpstr>GMIC_22A_SCDPT1!SCDPT1_064BEGINNG_4</vt:lpstr>
      <vt:lpstr>GMIC_22A_SCDPT1!SCDPT1_064BEGINNG_5</vt:lpstr>
      <vt:lpstr>GMIC_22A_SCDPT1!SCDPT1_064BEGINNG_6.01</vt:lpstr>
      <vt:lpstr>GMIC_22A_SCDPT1!SCDPT1_064BEGINNG_6.02</vt:lpstr>
      <vt:lpstr>GMIC_22A_SCDPT1!SCDPT1_064BEGINNG_6.03</vt:lpstr>
      <vt:lpstr>GMIC_22A_SCDPT1!SCDPT1_064BEGINNG_7</vt:lpstr>
      <vt:lpstr>GMIC_22A_SCDPT1!SCDPT1_064BEGINNG_8</vt:lpstr>
      <vt:lpstr>GMIC_22A_SCDPT1!SCDPT1_064BEGINNG_9</vt:lpstr>
      <vt:lpstr>GMIC_22A_SCDPT1!SCDPT1_064ENDINGG_10</vt:lpstr>
      <vt:lpstr>GMIC_22A_SCDPT1!SCDPT1_064ENDINGG_11</vt:lpstr>
      <vt:lpstr>GMIC_22A_SCDPT1!SCDPT1_064ENDINGG_12</vt:lpstr>
      <vt:lpstr>GMIC_22A_SCDPT1!SCDPT1_064ENDINGG_13</vt:lpstr>
      <vt:lpstr>GMIC_22A_SCDPT1!SCDPT1_064ENDINGG_14</vt:lpstr>
      <vt:lpstr>GMIC_22A_SCDPT1!SCDPT1_064ENDINGG_15</vt:lpstr>
      <vt:lpstr>GMIC_22A_SCDPT1!SCDPT1_064ENDINGG_16</vt:lpstr>
      <vt:lpstr>GMIC_22A_SCDPT1!SCDPT1_064ENDINGG_17</vt:lpstr>
      <vt:lpstr>GMIC_22A_SCDPT1!SCDPT1_064ENDINGG_18</vt:lpstr>
      <vt:lpstr>GMIC_22A_SCDPT1!SCDPT1_064ENDINGG_19</vt:lpstr>
      <vt:lpstr>GMIC_22A_SCDPT1!SCDPT1_064ENDINGG_2</vt:lpstr>
      <vt:lpstr>GMIC_22A_SCDPT1!SCDPT1_064ENDINGG_20</vt:lpstr>
      <vt:lpstr>GMIC_22A_SCDPT1!SCDPT1_064ENDINGG_21</vt:lpstr>
      <vt:lpstr>GMIC_22A_SCDPT1!SCDPT1_064ENDINGG_22</vt:lpstr>
      <vt:lpstr>GMIC_22A_SCDPT1!SCDPT1_064ENDINGG_23</vt:lpstr>
      <vt:lpstr>GMIC_22A_SCDPT1!SCDPT1_064ENDINGG_24</vt:lpstr>
      <vt:lpstr>GMIC_22A_SCDPT1!SCDPT1_064ENDINGG_25</vt:lpstr>
      <vt:lpstr>GMIC_22A_SCDPT1!SCDPT1_064ENDINGG_26</vt:lpstr>
      <vt:lpstr>GMIC_22A_SCDPT1!SCDPT1_064ENDINGG_27</vt:lpstr>
      <vt:lpstr>GMIC_22A_SCDPT1!SCDPT1_064ENDINGG_28</vt:lpstr>
      <vt:lpstr>GMIC_22A_SCDPT1!SCDPT1_064ENDINGG_29</vt:lpstr>
      <vt:lpstr>GMIC_22A_SCDPT1!SCDPT1_064ENDINGG_3</vt:lpstr>
      <vt:lpstr>GMIC_22A_SCDPT1!SCDPT1_064ENDINGG_30</vt:lpstr>
      <vt:lpstr>GMIC_22A_SCDPT1!SCDPT1_064ENDINGG_31</vt:lpstr>
      <vt:lpstr>GMIC_22A_SCDPT1!SCDPT1_064ENDINGG_32</vt:lpstr>
      <vt:lpstr>GMIC_22A_SCDPT1!SCDPT1_064ENDINGG_33</vt:lpstr>
      <vt:lpstr>GMIC_22A_SCDPT1!SCDPT1_064ENDINGG_34</vt:lpstr>
      <vt:lpstr>GMIC_22A_SCDPT1!SCDPT1_064ENDINGG_35</vt:lpstr>
      <vt:lpstr>GMIC_22A_SCDPT1!SCDPT1_064ENDINGG_36</vt:lpstr>
      <vt:lpstr>GMIC_22A_SCDPT1!SCDPT1_064ENDINGG_4</vt:lpstr>
      <vt:lpstr>GMIC_22A_SCDPT1!SCDPT1_064ENDINGG_5</vt:lpstr>
      <vt:lpstr>GMIC_22A_SCDPT1!SCDPT1_064ENDINGG_6.01</vt:lpstr>
      <vt:lpstr>GMIC_22A_SCDPT1!SCDPT1_064ENDINGG_6.02</vt:lpstr>
      <vt:lpstr>GMIC_22A_SCDPT1!SCDPT1_064ENDINGG_6.03</vt:lpstr>
      <vt:lpstr>GMIC_22A_SCDPT1!SCDPT1_064ENDINGG_7</vt:lpstr>
      <vt:lpstr>GMIC_22A_SCDPT1!SCDPT1_064ENDINGG_8</vt:lpstr>
      <vt:lpstr>GMIC_22A_SCDPT1!SCDPT1_064ENDINGG_9</vt:lpstr>
      <vt:lpstr>GMIC_22A_SCDPT1!SCDPT1_0709999999_10</vt:lpstr>
      <vt:lpstr>GMIC_22A_SCDPT1!SCDPT1_0709999999_11</vt:lpstr>
      <vt:lpstr>GMIC_22A_SCDPT1!SCDPT1_0709999999_12</vt:lpstr>
      <vt:lpstr>GMIC_22A_SCDPT1!SCDPT1_0709999999_13</vt:lpstr>
      <vt:lpstr>GMIC_22A_SCDPT1!SCDPT1_0709999999_14</vt:lpstr>
      <vt:lpstr>GMIC_22A_SCDPT1!SCDPT1_0709999999_15</vt:lpstr>
      <vt:lpstr>GMIC_22A_SCDPT1!SCDPT1_0709999999_19</vt:lpstr>
      <vt:lpstr>GMIC_22A_SCDPT1!SCDPT1_0709999999_20</vt:lpstr>
      <vt:lpstr>GMIC_22A_SCDPT1!SCDPT1_0709999999_7</vt:lpstr>
      <vt:lpstr>GMIC_22A_SCDPT1!SCDPT1_0709999999_9</vt:lpstr>
      <vt:lpstr>GMIC_22A_SCDPT1!SCDPT1_0810000000_Range</vt:lpstr>
      <vt:lpstr>GMIC_22A_SCDPT1!SCDPT1_0810000001_1</vt:lpstr>
      <vt:lpstr>GMIC_22A_SCDPT1!SCDPT1_0810000001_10</vt:lpstr>
      <vt:lpstr>GMIC_22A_SCDPT1!SCDPT1_0810000001_11</vt:lpstr>
      <vt:lpstr>GMIC_22A_SCDPT1!SCDPT1_0810000001_12</vt:lpstr>
      <vt:lpstr>GMIC_22A_SCDPT1!SCDPT1_0810000001_13</vt:lpstr>
      <vt:lpstr>GMIC_22A_SCDPT1!SCDPT1_0810000001_14</vt:lpstr>
      <vt:lpstr>GMIC_22A_SCDPT1!SCDPT1_0810000001_15</vt:lpstr>
      <vt:lpstr>GMIC_22A_SCDPT1!SCDPT1_0810000001_16</vt:lpstr>
      <vt:lpstr>GMIC_22A_SCDPT1!SCDPT1_0810000001_17</vt:lpstr>
      <vt:lpstr>GMIC_22A_SCDPT1!SCDPT1_0810000001_18</vt:lpstr>
      <vt:lpstr>GMIC_22A_SCDPT1!SCDPT1_0810000001_19</vt:lpstr>
      <vt:lpstr>GMIC_22A_SCDPT1!SCDPT1_0810000001_2</vt:lpstr>
      <vt:lpstr>GMIC_22A_SCDPT1!SCDPT1_0810000001_20</vt:lpstr>
      <vt:lpstr>GMIC_22A_SCDPT1!SCDPT1_0810000001_21</vt:lpstr>
      <vt:lpstr>GMIC_22A_SCDPT1!SCDPT1_0810000001_22</vt:lpstr>
      <vt:lpstr>GMIC_22A_SCDPT1!SCDPT1_0810000001_23</vt:lpstr>
      <vt:lpstr>GMIC_22A_SCDPT1!SCDPT1_0810000001_24</vt:lpstr>
      <vt:lpstr>GMIC_22A_SCDPT1!SCDPT1_0810000001_25</vt:lpstr>
      <vt:lpstr>GMIC_22A_SCDPT1!SCDPT1_0810000001_27</vt:lpstr>
      <vt:lpstr>GMIC_22A_SCDPT1!SCDPT1_0810000001_28</vt:lpstr>
      <vt:lpstr>GMIC_22A_SCDPT1!SCDPT1_0810000001_29</vt:lpstr>
      <vt:lpstr>GMIC_22A_SCDPT1!SCDPT1_0810000001_3</vt:lpstr>
      <vt:lpstr>GMIC_22A_SCDPT1!SCDPT1_0810000001_30</vt:lpstr>
      <vt:lpstr>GMIC_22A_SCDPT1!SCDPT1_0810000001_31</vt:lpstr>
      <vt:lpstr>GMIC_22A_SCDPT1!SCDPT1_0810000001_32</vt:lpstr>
      <vt:lpstr>GMIC_22A_SCDPT1!SCDPT1_0810000001_33</vt:lpstr>
      <vt:lpstr>GMIC_22A_SCDPT1!SCDPT1_0810000001_34</vt:lpstr>
      <vt:lpstr>GMIC_22A_SCDPT1!SCDPT1_0810000001_35</vt:lpstr>
      <vt:lpstr>GMIC_22A_SCDPT1!SCDPT1_0810000001_36</vt:lpstr>
      <vt:lpstr>GMIC_22A_SCDPT1!SCDPT1_0810000001_4</vt:lpstr>
      <vt:lpstr>GMIC_22A_SCDPT1!SCDPT1_0810000001_5</vt:lpstr>
      <vt:lpstr>GMIC_22A_SCDPT1!SCDPT1_0810000001_6.01</vt:lpstr>
      <vt:lpstr>GMIC_22A_SCDPT1!SCDPT1_0810000001_6.02</vt:lpstr>
      <vt:lpstr>GMIC_22A_SCDPT1!SCDPT1_0810000001_6.03</vt:lpstr>
      <vt:lpstr>GMIC_22A_SCDPT1!SCDPT1_0810000001_7</vt:lpstr>
      <vt:lpstr>GMIC_22A_SCDPT1!SCDPT1_0810000001_8</vt:lpstr>
      <vt:lpstr>GMIC_22A_SCDPT1!SCDPT1_0810000001_9</vt:lpstr>
      <vt:lpstr>GMIC_22A_SCDPT1!SCDPT1_0819999999_10</vt:lpstr>
      <vt:lpstr>GMIC_22A_SCDPT1!SCDPT1_0819999999_11</vt:lpstr>
      <vt:lpstr>GMIC_22A_SCDPT1!SCDPT1_0819999999_12</vt:lpstr>
      <vt:lpstr>GMIC_22A_SCDPT1!SCDPT1_0819999999_13</vt:lpstr>
      <vt:lpstr>GMIC_22A_SCDPT1!SCDPT1_0819999999_14</vt:lpstr>
      <vt:lpstr>GMIC_22A_SCDPT1!SCDPT1_0819999999_15</vt:lpstr>
      <vt:lpstr>GMIC_22A_SCDPT1!SCDPT1_0819999999_19</vt:lpstr>
      <vt:lpstr>GMIC_22A_SCDPT1!SCDPT1_0819999999_20</vt:lpstr>
      <vt:lpstr>GMIC_22A_SCDPT1!SCDPT1_0819999999_7</vt:lpstr>
      <vt:lpstr>GMIC_22A_SCDPT1!SCDPT1_0819999999_9</vt:lpstr>
      <vt:lpstr>GMIC_22A_SCDPT1!SCDPT1_081BEGINNG_1</vt:lpstr>
      <vt:lpstr>GMIC_22A_SCDPT1!SCDPT1_081BEGINNG_10</vt:lpstr>
      <vt:lpstr>GMIC_22A_SCDPT1!SCDPT1_081BEGINNG_11</vt:lpstr>
      <vt:lpstr>GMIC_22A_SCDPT1!SCDPT1_081BEGINNG_12</vt:lpstr>
      <vt:lpstr>GMIC_22A_SCDPT1!SCDPT1_081BEGINNG_13</vt:lpstr>
      <vt:lpstr>GMIC_22A_SCDPT1!SCDPT1_081BEGINNG_14</vt:lpstr>
      <vt:lpstr>GMIC_22A_SCDPT1!SCDPT1_081BEGINNG_15</vt:lpstr>
      <vt:lpstr>GMIC_22A_SCDPT1!SCDPT1_081BEGINNG_16</vt:lpstr>
      <vt:lpstr>GMIC_22A_SCDPT1!SCDPT1_081BEGINNG_17</vt:lpstr>
      <vt:lpstr>GMIC_22A_SCDPT1!SCDPT1_081BEGINNG_18</vt:lpstr>
      <vt:lpstr>GMIC_22A_SCDPT1!SCDPT1_081BEGINNG_19</vt:lpstr>
      <vt:lpstr>GMIC_22A_SCDPT1!SCDPT1_081BEGINNG_2</vt:lpstr>
      <vt:lpstr>GMIC_22A_SCDPT1!SCDPT1_081BEGINNG_20</vt:lpstr>
      <vt:lpstr>GMIC_22A_SCDPT1!SCDPT1_081BEGINNG_21</vt:lpstr>
      <vt:lpstr>GMIC_22A_SCDPT1!SCDPT1_081BEGINNG_22</vt:lpstr>
      <vt:lpstr>GMIC_22A_SCDPT1!SCDPT1_081BEGINNG_23</vt:lpstr>
      <vt:lpstr>GMIC_22A_SCDPT1!SCDPT1_081BEGINNG_24</vt:lpstr>
      <vt:lpstr>GMIC_22A_SCDPT1!SCDPT1_081BEGINNG_25</vt:lpstr>
      <vt:lpstr>GMIC_22A_SCDPT1!SCDPT1_081BEGINNG_26</vt:lpstr>
      <vt:lpstr>GMIC_22A_SCDPT1!SCDPT1_081BEGINNG_27</vt:lpstr>
      <vt:lpstr>GMIC_22A_SCDPT1!SCDPT1_081BEGINNG_28</vt:lpstr>
      <vt:lpstr>GMIC_22A_SCDPT1!SCDPT1_081BEGINNG_29</vt:lpstr>
      <vt:lpstr>GMIC_22A_SCDPT1!SCDPT1_081BEGINNG_3</vt:lpstr>
      <vt:lpstr>GMIC_22A_SCDPT1!SCDPT1_081BEGINNG_30</vt:lpstr>
      <vt:lpstr>GMIC_22A_SCDPT1!SCDPT1_081BEGINNG_31</vt:lpstr>
      <vt:lpstr>GMIC_22A_SCDPT1!SCDPT1_081BEGINNG_32</vt:lpstr>
      <vt:lpstr>GMIC_22A_SCDPT1!SCDPT1_081BEGINNG_33</vt:lpstr>
      <vt:lpstr>GMIC_22A_SCDPT1!SCDPT1_081BEGINNG_34</vt:lpstr>
      <vt:lpstr>GMIC_22A_SCDPT1!SCDPT1_081BEGINNG_35</vt:lpstr>
      <vt:lpstr>GMIC_22A_SCDPT1!SCDPT1_081BEGINNG_36</vt:lpstr>
      <vt:lpstr>GMIC_22A_SCDPT1!SCDPT1_081BEGINNG_4</vt:lpstr>
      <vt:lpstr>GMIC_22A_SCDPT1!SCDPT1_081BEGINNG_5</vt:lpstr>
      <vt:lpstr>GMIC_22A_SCDPT1!SCDPT1_081BEGINNG_6.01</vt:lpstr>
      <vt:lpstr>GMIC_22A_SCDPT1!SCDPT1_081BEGINNG_6.02</vt:lpstr>
      <vt:lpstr>GMIC_22A_SCDPT1!SCDPT1_081BEGINNG_6.03</vt:lpstr>
      <vt:lpstr>GMIC_22A_SCDPT1!SCDPT1_081BEGINNG_7</vt:lpstr>
      <vt:lpstr>GMIC_22A_SCDPT1!SCDPT1_081BEGINNG_8</vt:lpstr>
      <vt:lpstr>GMIC_22A_SCDPT1!SCDPT1_081BEGINNG_9</vt:lpstr>
      <vt:lpstr>GMIC_22A_SCDPT1!SCDPT1_081ENDINGG_10</vt:lpstr>
      <vt:lpstr>GMIC_22A_SCDPT1!SCDPT1_081ENDINGG_11</vt:lpstr>
      <vt:lpstr>GMIC_22A_SCDPT1!SCDPT1_081ENDINGG_12</vt:lpstr>
      <vt:lpstr>GMIC_22A_SCDPT1!SCDPT1_081ENDINGG_13</vt:lpstr>
      <vt:lpstr>GMIC_22A_SCDPT1!SCDPT1_081ENDINGG_14</vt:lpstr>
      <vt:lpstr>GMIC_22A_SCDPT1!SCDPT1_081ENDINGG_15</vt:lpstr>
      <vt:lpstr>GMIC_22A_SCDPT1!SCDPT1_081ENDINGG_16</vt:lpstr>
      <vt:lpstr>GMIC_22A_SCDPT1!SCDPT1_081ENDINGG_17</vt:lpstr>
      <vt:lpstr>GMIC_22A_SCDPT1!SCDPT1_081ENDINGG_18</vt:lpstr>
      <vt:lpstr>GMIC_22A_SCDPT1!SCDPT1_081ENDINGG_19</vt:lpstr>
      <vt:lpstr>GMIC_22A_SCDPT1!SCDPT1_081ENDINGG_2</vt:lpstr>
      <vt:lpstr>GMIC_22A_SCDPT1!SCDPT1_081ENDINGG_20</vt:lpstr>
      <vt:lpstr>GMIC_22A_SCDPT1!SCDPT1_081ENDINGG_21</vt:lpstr>
      <vt:lpstr>GMIC_22A_SCDPT1!SCDPT1_081ENDINGG_22</vt:lpstr>
      <vt:lpstr>GMIC_22A_SCDPT1!SCDPT1_081ENDINGG_23</vt:lpstr>
      <vt:lpstr>GMIC_22A_SCDPT1!SCDPT1_081ENDINGG_24</vt:lpstr>
      <vt:lpstr>GMIC_22A_SCDPT1!SCDPT1_081ENDINGG_25</vt:lpstr>
      <vt:lpstr>GMIC_22A_SCDPT1!SCDPT1_081ENDINGG_26</vt:lpstr>
      <vt:lpstr>GMIC_22A_SCDPT1!SCDPT1_081ENDINGG_27</vt:lpstr>
      <vt:lpstr>GMIC_22A_SCDPT1!SCDPT1_081ENDINGG_28</vt:lpstr>
      <vt:lpstr>GMIC_22A_SCDPT1!SCDPT1_081ENDINGG_29</vt:lpstr>
      <vt:lpstr>GMIC_22A_SCDPT1!SCDPT1_081ENDINGG_3</vt:lpstr>
      <vt:lpstr>GMIC_22A_SCDPT1!SCDPT1_081ENDINGG_30</vt:lpstr>
      <vt:lpstr>GMIC_22A_SCDPT1!SCDPT1_081ENDINGG_31</vt:lpstr>
      <vt:lpstr>GMIC_22A_SCDPT1!SCDPT1_081ENDINGG_32</vt:lpstr>
      <vt:lpstr>GMIC_22A_SCDPT1!SCDPT1_081ENDINGG_33</vt:lpstr>
      <vt:lpstr>GMIC_22A_SCDPT1!SCDPT1_081ENDINGG_34</vt:lpstr>
      <vt:lpstr>GMIC_22A_SCDPT1!SCDPT1_081ENDINGG_35</vt:lpstr>
      <vt:lpstr>GMIC_22A_SCDPT1!SCDPT1_081ENDINGG_36</vt:lpstr>
      <vt:lpstr>GMIC_22A_SCDPT1!SCDPT1_081ENDINGG_4</vt:lpstr>
      <vt:lpstr>GMIC_22A_SCDPT1!SCDPT1_081ENDINGG_5</vt:lpstr>
      <vt:lpstr>GMIC_22A_SCDPT1!SCDPT1_081ENDINGG_6.01</vt:lpstr>
      <vt:lpstr>GMIC_22A_SCDPT1!SCDPT1_081ENDINGG_6.02</vt:lpstr>
      <vt:lpstr>GMIC_22A_SCDPT1!SCDPT1_081ENDINGG_6.03</vt:lpstr>
      <vt:lpstr>GMIC_22A_SCDPT1!SCDPT1_081ENDINGG_7</vt:lpstr>
      <vt:lpstr>GMIC_22A_SCDPT1!SCDPT1_081ENDINGG_8</vt:lpstr>
      <vt:lpstr>GMIC_22A_SCDPT1!SCDPT1_081ENDINGG_9</vt:lpstr>
      <vt:lpstr>GMIC_22A_SCDPT1!SCDPT1_0820000000_Range</vt:lpstr>
      <vt:lpstr>GMIC_22A_SCDPT1!SCDPT1_0829999999_10</vt:lpstr>
      <vt:lpstr>GMIC_22A_SCDPT1!SCDPT1_0829999999_11</vt:lpstr>
      <vt:lpstr>GMIC_22A_SCDPT1!SCDPT1_0829999999_12</vt:lpstr>
      <vt:lpstr>GMIC_22A_SCDPT1!SCDPT1_0829999999_13</vt:lpstr>
      <vt:lpstr>GMIC_22A_SCDPT1!SCDPT1_0829999999_14</vt:lpstr>
      <vt:lpstr>GMIC_22A_SCDPT1!SCDPT1_0829999999_15</vt:lpstr>
      <vt:lpstr>GMIC_22A_SCDPT1!SCDPT1_0829999999_19</vt:lpstr>
      <vt:lpstr>GMIC_22A_SCDPT1!SCDPT1_0829999999_20</vt:lpstr>
      <vt:lpstr>GMIC_22A_SCDPT1!SCDPT1_0829999999_7</vt:lpstr>
      <vt:lpstr>GMIC_22A_SCDPT1!SCDPT1_0829999999_9</vt:lpstr>
      <vt:lpstr>GMIC_22A_SCDPT1!SCDPT1_082BEGINNG_1</vt:lpstr>
      <vt:lpstr>GMIC_22A_SCDPT1!SCDPT1_082BEGINNG_10</vt:lpstr>
      <vt:lpstr>GMIC_22A_SCDPT1!SCDPT1_082BEGINNG_11</vt:lpstr>
      <vt:lpstr>GMIC_22A_SCDPT1!SCDPT1_082BEGINNG_12</vt:lpstr>
      <vt:lpstr>GMIC_22A_SCDPT1!SCDPT1_082BEGINNG_13</vt:lpstr>
      <vt:lpstr>GMIC_22A_SCDPT1!SCDPT1_082BEGINNG_14</vt:lpstr>
      <vt:lpstr>GMIC_22A_SCDPT1!SCDPT1_082BEGINNG_15</vt:lpstr>
      <vt:lpstr>GMIC_22A_SCDPT1!SCDPT1_082BEGINNG_16</vt:lpstr>
      <vt:lpstr>GMIC_22A_SCDPT1!SCDPT1_082BEGINNG_17</vt:lpstr>
      <vt:lpstr>GMIC_22A_SCDPT1!SCDPT1_082BEGINNG_18</vt:lpstr>
      <vt:lpstr>GMIC_22A_SCDPT1!SCDPT1_082BEGINNG_19</vt:lpstr>
      <vt:lpstr>GMIC_22A_SCDPT1!SCDPT1_082BEGINNG_2</vt:lpstr>
      <vt:lpstr>GMIC_22A_SCDPT1!SCDPT1_082BEGINNG_20</vt:lpstr>
      <vt:lpstr>GMIC_22A_SCDPT1!SCDPT1_082BEGINNG_21</vt:lpstr>
      <vt:lpstr>GMIC_22A_SCDPT1!SCDPT1_082BEGINNG_22</vt:lpstr>
      <vt:lpstr>GMIC_22A_SCDPT1!SCDPT1_082BEGINNG_23</vt:lpstr>
      <vt:lpstr>GMIC_22A_SCDPT1!SCDPT1_082BEGINNG_24</vt:lpstr>
      <vt:lpstr>GMIC_22A_SCDPT1!SCDPT1_082BEGINNG_25</vt:lpstr>
      <vt:lpstr>GMIC_22A_SCDPT1!SCDPT1_082BEGINNG_26</vt:lpstr>
      <vt:lpstr>GMIC_22A_SCDPT1!SCDPT1_082BEGINNG_27</vt:lpstr>
      <vt:lpstr>GMIC_22A_SCDPT1!SCDPT1_082BEGINNG_28</vt:lpstr>
      <vt:lpstr>GMIC_22A_SCDPT1!SCDPT1_082BEGINNG_29</vt:lpstr>
      <vt:lpstr>GMIC_22A_SCDPT1!SCDPT1_082BEGINNG_3</vt:lpstr>
      <vt:lpstr>GMIC_22A_SCDPT1!SCDPT1_082BEGINNG_30</vt:lpstr>
      <vt:lpstr>GMIC_22A_SCDPT1!SCDPT1_082BEGINNG_31</vt:lpstr>
      <vt:lpstr>GMIC_22A_SCDPT1!SCDPT1_082BEGINNG_32</vt:lpstr>
      <vt:lpstr>GMIC_22A_SCDPT1!SCDPT1_082BEGINNG_33</vt:lpstr>
      <vt:lpstr>GMIC_22A_SCDPT1!SCDPT1_082BEGINNG_34</vt:lpstr>
      <vt:lpstr>GMIC_22A_SCDPT1!SCDPT1_082BEGINNG_35</vt:lpstr>
      <vt:lpstr>GMIC_22A_SCDPT1!SCDPT1_082BEGINNG_36</vt:lpstr>
      <vt:lpstr>GMIC_22A_SCDPT1!SCDPT1_082BEGINNG_4</vt:lpstr>
      <vt:lpstr>GMIC_22A_SCDPT1!SCDPT1_082BEGINNG_5</vt:lpstr>
      <vt:lpstr>GMIC_22A_SCDPT1!SCDPT1_082BEGINNG_6.01</vt:lpstr>
      <vt:lpstr>GMIC_22A_SCDPT1!SCDPT1_082BEGINNG_6.02</vt:lpstr>
      <vt:lpstr>GMIC_22A_SCDPT1!SCDPT1_082BEGINNG_6.03</vt:lpstr>
      <vt:lpstr>GMIC_22A_SCDPT1!SCDPT1_082BEGINNG_7</vt:lpstr>
      <vt:lpstr>GMIC_22A_SCDPT1!SCDPT1_082BEGINNG_8</vt:lpstr>
      <vt:lpstr>GMIC_22A_SCDPT1!SCDPT1_082BEGINNG_9</vt:lpstr>
      <vt:lpstr>GMIC_22A_SCDPT1!SCDPT1_082ENDINGG_10</vt:lpstr>
      <vt:lpstr>GMIC_22A_SCDPT1!SCDPT1_082ENDINGG_11</vt:lpstr>
      <vt:lpstr>GMIC_22A_SCDPT1!SCDPT1_082ENDINGG_12</vt:lpstr>
      <vt:lpstr>GMIC_22A_SCDPT1!SCDPT1_082ENDINGG_13</vt:lpstr>
      <vt:lpstr>GMIC_22A_SCDPT1!SCDPT1_082ENDINGG_14</vt:lpstr>
      <vt:lpstr>GMIC_22A_SCDPT1!SCDPT1_082ENDINGG_15</vt:lpstr>
      <vt:lpstr>GMIC_22A_SCDPT1!SCDPT1_082ENDINGG_16</vt:lpstr>
      <vt:lpstr>GMIC_22A_SCDPT1!SCDPT1_082ENDINGG_17</vt:lpstr>
      <vt:lpstr>GMIC_22A_SCDPT1!SCDPT1_082ENDINGG_18</vt:lpstr>
      <vt:lpstr>GMIC_22A_SCDPT1!SCDPT1_082ENDINGG_19</vt:lpstr>
      <vt:lpstr>GMIC_22A_SCDPT1!SCDPT1_082ENDINGG_2</vt:lpstr>
      <vt:lpstr>GMIC_22A_SCDPT1!SCDPT1_082ENDINGG_20</vt:lpstr>
      <vt:lpstr>GMIC_22A_SCDPT1!SCDPT1_082ENDINGG_21</vt:lpstr>
      <vt:lpstr>GMIC_22A_SCDPT1!SCDPT1_082ENDINGG_22</vt:lpstr>
      <vt:lpstr>GMIC_22A_SCDPT1!SCDPT1_082ENDINGG_23</vt:lpstr>
      <vt:lpstr>GMIC_22A_SCDPT1!SCDPT1_082ENDINGG_24</vt:lpstr>
      <vt:lpstr>GMIC_22A_SCDPT1!SCDPT1_082ENDINGG_25</vt:lpstr>
      <vt:lpstr>GMIC_22A_SCDPT1!SCDPT1_082ENDINGG_26</vt:lpstr>
      <vt:lpstr>GMIC_22A_SCDPT1!SCDPT1_082ENDINGG_27</vt:lpstr>
      <vt:lpstr>GMIC_22A_SCDPT1!SCDPT1_082ENDINGG_28</vt:lpstr>
      <vt:lpstr>GMIC_22A_SCDPT1!SCDPT1_082ENDINGG_29</vt:lpstr>
      <vt:lpstr>GMIC_22A_SCDPT1!SCDPT1_082ENDINGG_3</vt:lpstr>
      <vt:lpstr>GMIC_22A_SCDPT1!SCDPT1_082ENDINGG_30</vt:lpstr>
      <vt:lpstr>GMIC_22A_SCDPT1!SCDPT1_082ENDINGG_31</vt:lpstr>
      <vt:lpstr>GMIC_22A_SCDPT1!SCDPT1_082ENDINGG_32</vt:lpstr>
      <vt:lpstr>GMIC_22A_SCDPT1!SCDPT1_082ENDINGG_33</vt:lpstr>
      <vt:lpstr>GMIC_22A_SCDPT1!SCDPT1_082ENDINGG_34</vt:lpstr>
      <vt:lpstr>GMIC_22A_SCDPT1!SCDPT1_082ENDINGG_35</vt:lpstr>
      <vt:lpstr>GMIC_22A_SCDPT1!SCDPT1_082ENDINGG_36</vt:lpstr>
      <vt:lpstr>GMIC_22A_SCDPT1!SCDPT1_082ENDINGG_4</vt:lpstr>
      <vt:lpstr>GMIC_22A_SCDPT1!SCDPT1_082ENDINGG_5</vt:lpstr>
      <vt:lpstr>GMIC_22A_SCDPT1!SCDPT1_082ENDINGG_6.01</vt:lpstr>
      <vt:lpstr>GMIC_22A_SCDPT1!SCDPT1_082ENDINGG_6.02</vt:lpstr>
      <vt:lpstr>GMIC_22A_SCDPT1!SCDPT1_082ENDINGG_6.03</vt:lpstr>
      <vt:lpstr>GMIC_22A_SCDPT1!SCDPT1_082ENDINGG_7</vt:lpstr>
      <vt:lpstr>GMIC_22A_SCDPT1!SCDPT1_082ENDINGG_8</vt:lpstr>
      <vt:lpstr>GMIC_22A_SCDPT1!SCDPT1_082ENDINGG_9</vt:lpstr>
      <vt:lpstr>GMIC_22A_SCDPT1!SCDPT1_0830000000_Range</vt:lpstr>
      <vt:lpstr>GMIC_22A_SCDPT1!SCDPT1_0839999999_10</vt:lpstr>
      <vt:lpstr>GMIC_22A_SCDPT1!SCDPT1_0839999999_11</vt:lpstr>
      <vt:lpstr>GMIC_22A_SCDPT1!SCDPT1_0839999999_12</vt:lpstr>
      <vt:lpstr>GMIC_22A_SCDPT1!SCDPT1_0839999999_13</vt:lpstr>
      <vt:lpstr>GMIC_22A_SCDPT1!SCDPT1_0839999999_14</vt:lpstr>
      <vt:lpstr>GMIC_22A_SCDPT1!SCDPT1_0839999999_15</vt:lpstr>
      <vt:lpstr>GMIC_22A_SCDPT1!SCDPT1_0839999999_19</vt:lpstr>
      <vt:lpstr>GMIC_22A_SCDPT1!SCDPT1_0839999999_20</vt:lpstr>
      <vt:lpstr>GMIC_22A_SCDPT1!SCDPT1_0839999999_7</vt:lpstr>
      <vt:lpstr>GMIC_22A_SCDPT1!SCDPT1_0839999999_9</vt:lpstr>
      <vt:lpstr>GMIC_22A_SCDPT1!SCDPT1_083BEGINNG_1</vt:lpstr>
      <vt:lpstr>GMIC_22A_SCDPT1!SCDPT1_083BEGINNG_10</vt:lpstr>
      <vt:lpstr>GMIC_22A_SCDPT1!SCDPT1_083BEGINNG_11</vt:lpstr>
      <vt:lpstr>GMIC_22A_SCDPT1!SCDPT1_083BEGINNG_12</vt:lpstr>
      <vt:lpstr>GMIC_22A_SCDPT1!SCDPT1_083BEGINNG_13</vt:lpstr>
      <vt:lpstr>GMIC_22A_SCDPT1!SCDPT1_083BEGINNG_14</vt:lpstr>
      <vt:lpstr>GMIC_22A_SCDPT1!SCDPT1_083BEGINNG_15</vt:lpstr>
      <vt:lpstr>GMIC_22A_SCDPT1!SCDPT1_083BEGINNG_16</vt:lpstr>
      <vt:lpstr>GMIC_22A_SCDPT1!SCDPT1_083BEGINNG_17</vt:lpstr>
      <vt:lpstr>GMIC_22A_SCDPT1!SCDPT1_083BEGINNG_18</vt:lpstr>
      <vt:lpstr>GMIC_22A_SCDPT1!SCDPT1_083BEGINNG_19</vt:lpstr>
      <vt:lpstr>GMIC_22A_SCDPT1!SCDPT1_083BEGINNG_2</vt:lpstr>
      <vt:lpstr>GMIC_22A_SCDPT1!SCDPT1_083BEGINNG_20</vt:lpstr>
      <vt:lpstr>GMIC_22A_SCDPT1!SCDPT1_083BEGINNG_21</vt:lpstr>
      <vt:lpstr>GMIC_22A_SCDPT1!SCDPT1_083BEGINNG_22</vt:lpstr>
      <vt:lpstr>GMIC_22A_SCDPT1!SCDPT1_083BEGINNG_23</vt:lpstr>
      <vt:lpstr>GMIC_22A_SCDPT1!SCDPT1_083BEGINNG_24</vt:lpstr>
      <vt:lpstr>GMIC_22A_SCDPT1!SCDPT1_083BEGINNG_25</vt:lpstr>
      <vt:lpstr>GMIC_22A_SCDPT1!SCDPT1_083BEGINNG_26</vt:lpstr>
      <vt:lpstr>GMIC_22A_SCDPT1!SCDPT1_083BEGINNG_27</vt:lpstr>
      <vt:lpstr>GMIC_22A_SCDPT1!SCDPT1_083BEGINNG_28</vt:lpstr>
      <vt:lpstr>GMIC_22A_SCDPT1!SCDPT1_083BEGINNG_29</vt:lpstr>
      <vt:lpstr>GMIC_22A_SCDPT1!SCDPT1_083BEGINNG_3</vt:lpstr>
      <vt:lpstr>GMIC_22A_SCDPT1!SCDPT1_083BEGINNG_30</vt:lpstr>
      <vt:lpstr>GMIC_22A_SCDPT1!SCDPT1_083BEGINNG_31</vt:lpstr>
      <vt:lpstr>GMIC_22A_SCDPT1!SCDPT1_083BEGINNG_32</vt:lpstr>
      <vt:lpstr>GMIC_22A_SCDPT1!SCDPT1_083BEGINNG_33</vt:lpstr>
      <vt:lpstr>GMIC_22A_SCDPT1!SCDPT1_083BEGINNG_34</vt:lpstr>
      <vt:lpstr>GMIC_22A_SCDPT1!SCDPT1_083BEGINNG_35</vt:lpstr>
      <vt:lpstr>GMIC_22A_SCDPT1!SCDPT1_083BEGINNG_36</vt:lpstr>
      <vt:lpstr>GMIC_22A_SCDPT1!SCDPT1_083BEGINNG_4</vt:lpstr>
      <vt:lpstr>GMIC_22A_SCDPT1!SCDPT1_083BEGINNG_5</vt:lpstr>
      <vt:lpstr>GMIC_22A_SCDPT1!SCDPT1_083BEGINNG_6.01</vt:lpstr>
      <vt:lpstr>GMIC_22A_SCDPT1!SCDPT1_083BEGINNG_6.02</vt:lpstr>
      <vt:lpstr>GMIC_22A_SCDPT1!SCDPT1_083BEGINNG_6.03</vt:lpstr>
      <vt:lpstr>GMIC_22A_SCDPT1!SCDPT1_083BEGINNG_7</vt:lpstr>
      <vt:lpstr>GMIC_22A_SCDPT1!SCDPT1_083BEGINNG_8</vt:lpstr>
      <vt:lpstr>GMIC_22A_SCDPT1!SCDPT1_083BEGINNG_9</vt:lpstr>
      <vt:lpstr>GMIC_22A_SCDPT1!SCDPT1_083ENDINGG_10</vt:lpstr>
      <vt:lpstr>GMIC_22A_SCDPT1!SCDPT1_083ENDINGG_11</vt:lpstr>
      <vt:lpstr>GMIC_22A_SCDPT1!SCDPT1_083ENDINGG_12</vt:lpstr>
      <vt:lpstr>GMIC_22A_SCDPT1!SCDPT1_083ENDINGG_13</vt:lpstr>
      <vt:lpstr>GMIC_22A_SCDPT1!SCDPT1_083ENDINGG_14</vt:lpstr>
      <vt:lpstr>GMIC_22A_SCDPT1!SCDPT1_083ENDINGG_15</vt:lpstr>
      <vt:lpstr>GMIC_22A_SCDPT1!SCDPT1_083ENDINGG_16</vt:lpstr>
      <vt:lpstr>GMIC_22A_SCDPT1!SCDPT1_083ENDINGG_17</vt:lpstr>
      <vt:lpstr>GMIC_22A_SCDPT1!SCDPT1_083ENDINGG_18</vt:lpstr>
      <vt:lpstr>GMIC_22A_SCDPT1!SCDPT1_083ENDINGG_19</vt:lpstr>
      <vt:lpstr>GMIC_22A_SCDPT1!SCDPT1_083ENDINGG_2</vt:lpstr>
      <vt:lpstr>GMIC_22A_SCDPT1!SCDPT1_083ENDINGG_20</vt:lpstr>
      <vt:lpstr>GMIC_22A_SCDPT1!SCDPT1_083ENDINGG_21</vt:lpstr>
      <vt:lpstr>GMIC_22A_SCDPT1!SCDPT1_083ENDINGG_22</vt:lpstr>
      <vt:lpstr>GMIC_22A_SCDPT1!SCDPT1_083ENDINGG_23</vt:lpstr>
      <vt:lpstr>GMIC_22A_SCDPT1!SCDPT1_083ENDINGG_24</vt:lpstr>
      <vt:lpstr>GMIC_22A_SCDPT1!SCDPT1_083ENDINGG_25</vt:lpstr>
      <vt:lpstr>GMIC_22A_SCDPT1!SCDPT1_083ENDINGG_26</vt:lpstr>
      <vt:lpstr>GMIC_22A_SCDPT1!SCDPT1_083ENDINGG_27</vt:lpstr>
      <vt:lpstr>GMIC_22A_SCDPT1!SCDPT1_083ENDINGG_28</vt:lpstr>
      <vt:lpstr>GMIC_22A_SCDPT1!SCDPT1_083ENDINGG_29</vt:lpstr>
      <vt:lpstr>GMIC_22A_SCDPT1!SCDPT1_083ENDINGG_3</vt:lpstr>
      <vt:lpstr>GMIC_22A_SCDPT1!SCDPT1_083ENDINGG_30</vt:lpstr>
      <vt:lpstr>GMIC_22A_SCDPT1!SCDPT1_083ENDINGG_31</vt:lpstr>
      <vt:lpstr>GMIC_22A_SCDPT1!SCDPT1_083ENDINGG_32</vt:lpstr>
      <vt:lpstr>GMIC_22A_SCDPT1!SCDPT1_083ENDINGG_33</vt:lpstr>
      <vt:lpstr>GMIC_22A_SCDPT1!SCDPT1_083ENDINGG_34</vt:lpstr>
      <vt:lpstr>GMIC_22A_SCDPT1!SCDPT1_083ENDINGG_35</vt:lpstr>
      <vt:lpstr>GMIC_22A_SCDPT1!SCDPT1_083ENDINGG_36</vt:lpstr>
      <vt:lpstr>GMIC_22A_SCDPT1!SCDPT1_083ENDINGG_4</vt:lpstr>
      <vt:lpstr>GMIC_22A_SCDPT1!SCDPT1_083ENDINGG_5</vt:lpstr>
      <vt:lpstr>GMIC_22A_SCDPT1!SCDPT1_083ENDINGG_6.01</vt:lpstr>
      <vt:lpstr>GMIC_22A_SCDPT1!SCDPT1_083ENDINGG_6.02</vt:lpstr>
      <vt:lpstr>GMIC_22A_SCDPT1!SCDPT1_083ENDINGG_6.03</vt:lpstr>
      <vt:lpstr>GMIC_22A_SCDPT1!SCDPT1_083ENDINGG_7</vt:lpstr>
      <vt:lpstr>GMIC_22A_SCDPT1!SCDPT1_083ENDINGG_8</vt:lpstr>
      <vt:lpstr>GMIC_22A_SCDPT1!SCDPT1_083ENDINGG_9</vt:lpstr>
      <vt:lpstr>GMIC_22A_SCDPT1!SCDPT1_0840000000_Range</vt:lpstr>
      <vt:lpstr>GMIC_22A_SCDPT1!SCDPT1_0849999999_10</vt:lpstr>
      <vt:lpstr>GMIC_22A_SCDPT1!SCDPT1_0849999999_11</vt:lpstr>
      <vt:lpstr>GMIC_22A_SCDPT1!SCDPT1_0849999999_12</vt:lpstr>
      <vt:lpstr>GMIC_22A_SCDPT1!SCDPT1_0849999999_13</vt:lpstr>
      <vt:lpstr>GMIC_22A_SCDPT1!SCDPT1_0849999999_14</vt:lpstr>
      <vt:lpstr>GMIC_22A_SCDPT1!SCDPT1_0849999999_15</vt:lpstr>
      <vt:lpstr>GMIC_22A_SCDPT1!SCDPT1_0849999999_19</vt:lpstr>
      <vt:lpstr>GMIC_22A_SCDPT1!SCDPT1_0849999999_20</vt:lpstr>
      <vt:lpstr>GMIC_22A_SCDPT1!SCDPT1_0849999999_7</vt:lpstr>
      <vt:lpstr>GMIC_22A_SCDPT1!SCDPT1_0849999999_9</vt:lpstr>
      <vt:lpstr>GMIC_22A_SCDPT1!SCDPT1_084BEGINNG_1</vt:lpstr>
      <vt:lpstr>GMIC_22A_SCDPT1!SCDPT1_084BEGINNG_10</vt:lpstr>
      <vt:lpstr>GMIC_22A_SCDPT1!SCDPT1_084BEGINNG_11</vt:lpstr>
      <vt:lpstr>GMIC_22A_SCDPT1!SCDPT1_084BEGINNG_12</vt:lpstr>
      <vt:lpstr>GMIC_22A_SCDPT1!SCDPT1_084BEGINNG_13</vt:lpstr>
      <vt:lpstr>GMIC_22A_SCDPT1!SCDPT1_084BEGINNG_14</vt:lpstr>
      <vt:lpstr>GMIC_22A_SCDPT1!SCDPT1_084BEGINNG_15</vt:lpstr>
      <vt:lpstr>GMIC_22A_SCDPT1!SCDPT1_084BEGINNG_16</vt:lpstr>
      <vt:lpstr>GMIC_22A_SCDPT1!SCDPT1_084BEGINNG_17</vt:lpstr>
      <vt:lpstr>GMIC_22A_SCDPT1!SCDPT1_084BEGINNG_18</vt:lpstr>
      <vt:lpstr>GMIC_22A_SCDPT1!SCDPT1_084BEGINNG_19</vt:lpstr>
      <vt:lpstr>GMIC_22A_SCDPT1!SCDPT1_084BEGINNG_2</vt:lpstr>
      <vt:lpstr>GMIC_22A_SCDPT1!SCDPT1_084BEGINNG_20</vt:lpstr>
      <vt:lpstr>GMIC_22A_SCDPT1!SCDPT1_084BEGINNG_21</vt:lpstr>
      <vt:lpstr>GMIC_22A_SCDPT1!SCDPT1_084BEGINNG_22</vt:lpstr>
      <vt:lpstr>GMIC_22A_SCDPT1!SCDPT1_084BEGINNG_23</vt:lpstr>
      <vt:lpstr>GMIC_22A_SCDPT1!SCDPT1_084BEGINNG_24</vt:lpstr>
      <vt:lpstr>GMIC_22A_SCDPT1!SCDPT1_084BEGINNG_25</vt:lpstr>
      <vt:lpstr>GMIC_22A_SCDPT1!SCDPT1_084BEGINNG_26</vt:lpstr>
      <vt:lpstr>GMIC_22A_SCDPT1!SCDPT1_084BEGINNG_27</vt:lpstr>
      <vt:lpstr>GMIC_22A_SCDPT1!SCDPT1_084BEGINNG_28</vt:lpstr>
      <vt:lpstr>GMIC_22A_SCDPT1!SCDPT1_084BEGINNG_29</vt:lpstr>
      <vt:lpstr>GMIC_22A_SCDPT1!SCDPT1_084BEGINNG_3</vt:lpstr>
      <vt:lpstr>GMIC_22A_SCDPT1!SCDPT1_084BEGINNG_30</vt:lpstr>
      <vt:lpstr>GMIC_22A_SCDPT1!SCDPT1_084BEGINNG_31</vt:lpstr>
      <vt:lpstr>GMIC_22A_SCDPT1!SCDPT1_084BEGINNG_32</vt:lpstr>
      <vt:lpstr>GMIC_22A_SCDPT1!SCDPT1_084BEGINNG_33</vt:lpstr>
      <vt:lpstr>GMIC_22A_SCDPT1!SCDPT1_084BEGINNG_34</vt:lpstr>
      <vt:lpstr>GMIC_22A_SCDPT1!SCDPT1_084BEGINNG_35</vt:lpstr>
      <vt:lpstr>GMIC_22A_SCDPT1!SCDPT1_084BEGINNG_36</vt:lpstr>
      <vt:lpstr>GMIC_22A_SCDPT1!SCDPT1_084BEGINNG_4</vt:lpstr>
      <vt:lpstr>GMIC_22A_SCDPT1!SCDPT1_084BEGINNG_5</vt:lpstr>
      <vt:lpstr>GMIC_22A_SCDPT1!SCDPT1_084BEGINNG_6.01</vt:lpstr>
      <vt:lpstr>GMIC_22A_SCDPT1!SCDPT1_084BEGINNG_6.02</vt:lpstr>
      <vt:lpstr>GMIC_22A_SCDPT1!SCDPT1_084BEGINNG_6.03</vt:lpstr>
      <vt:lpstr>GMIC_22A_SCDPT1!SCDPT1_084BEGINNG_7</vt:lpstr>
      <vt:lpstr>GMIC_22A_SCDPT1!SCDPT1_084BEGINNG_8</vt:lpstr>
      <vt:lpstr>GMIC_22A_SCDPT1!SCDPT1_084BEGINNG_9</vt:lpstr>
      <vt:lpstr>GMIC_22A_SCDPT1!SCDPT1_084ENDINGG_10</vt:lpstr>
      <vt:lpstr>GMIC_22A_SCDPT1!SCDPT1_084ENDINGG_11</vt:lpstr>
      <vt:lpstr>GMIC_22A_SCDPT1!SCDPT1_084ENDINGG_12</vt:lpstr>
      <vt:lpstr>GMIC_22A_SCDPT1!SCDPT1_084ENDINGG_13</vt:lpstr>
      <vt:lpstr>GMIC_22A_SCDPT1!SCDPT1_084ENDINGG_14</vt:lpstr>
      <vt:lpstr>GMIC_22A_SCDPT1!SCDPT1_084ENDINGG_15</vt:lpstr>
      <vt:lpstr>GMIC_22A_SCDPT1!SCDPT1_084ENDINGG_16</vt:lpstr>
      <vt:lpstr>GMIC_22A_SCDPT1!SCDPT1_084ENDINGG_17</vt:lpstr>
      <vt:lpstr>GMIC_22A_SCDPT1!SCDPT1_084ENDINGG_18</vt:lpstr>
      <vt:lpstr>GMIC_22A_SCDPT1!SCDPT1_084ENDINGG_19</vt:lpstr>
      <vt:lpstr>GMIC_22A_SCDPT1!SCDPT1_084ENDINGG_2</vt:lpstr>
      <vt:lpstr>GMIC_22A_SCDPT1!SCDPT1_084ENDINGG_20</vt:lpstr>
      <vt:lpstr>GMIC_22A_SCDPT1!SCDPT1_084ENDINGG_21</vt:lpstr>
      <vt:lpstr>GMIC_22A_SCDPT1!SCDPT1_084ENDINGG_22</vt:lpstr>
      <vt:lpstr>GMIC_22A_SCDPT1!SCDPT1_084ENDINGG_23</vt:lpstr>
      <vt:lpstr>GMIC_22A_SCDPT1!SCDPT1_084ENDINGG_24</vt:lpstr>
      <vt:lpstr>GMIC_22A_SCDPT1!SCDPT1_084ENDINGG_25</vt:lpstr>
      <vt:lpstr>GMIC_22A_SCDPT1!SCDPT1_084ENDINGG_26</vt:lpstr>
      <vt:lpstr>GMIC_22A_SCDPT1!SCDPT1_084ENDINGG_27</vt:lpstr>
      <vt:lpstr>GMIC_22A_SCDPT1!SCDPT1_084ENDINGG_28</vt:lpstr>
      <vt:lpstr>GMIC_22A_SCDPT1!SCDPT1_084ENDINGG_29</vt:lpstr>
      <vt:lpstr>GMIC_22A_SCDPT1!SCDPT1_084ENDINGG_3</vt:lpstr>
      <vt:lpstr>GMIC_22A_SCDPT1!SCDPT1_084ENDINGG_30</vt:lpstr>
      <vt:lpstr>GMIC_22A_SCDPT1!SCDPT1_084ENDINGG_31</vt:lpstr>
      <vt:lpstr>GMIC_22A_SCDPT1!SCDPT1_084ENDINGG_32</vt:lpstr>
      <vt:lpstr>GMIC_22A_SCDPT1!SCDPT1_084ENDINGG_33</vt:lpstr>
      <vt:lpstr>GMIC_22A_SCDPT1!SCDPT1_084ENDINGG_34</vt:lpstr>
      <vt:lpstr>GMIC_22A_SCDPT1!SCDPT1_084ENDINGG_35</vt:lpstr>
      <vt:lpstr>GMIC_22A_SCDPT1!SCDPT1_084ENDINGG_36</vt:lpstr>
      <vt:lpstr>GMIC_22A_SCDPT1!SCDPT1_084ENDINGG_4</vt:lpstr>
      <vt:lpstr>GMIC_22A_SCDPT1!SCDPT1_084ENDINGG_5</vt:lpstr>
      <vt:lpstr>GMIC_22A_SCDPT1!SCDPT1_084ENDINGG_6.01</vt:lpstr>
      <vt:lpstr>GMIC_22A_SCDPT1!SCDPT1_084ENDINGG_6.02</vt:lpstr>
      <vt:lpstr>GMIC_22A_SCDPT1!SCDPT1_084ENDINGG_6.03</vt:lpstr>
      <vt:lpstr>GMIC_22A_SCDPT1!SCDPT1_084ENDINGG_7</vt:lpstr>
      <vt:lpstr>GMIC_22A_SCDPT1!SCDPT1_084ENDINGG_8</vt:lpstr>
      <vt:lpstr>GMIC_22A_SCDPT1!SCDPT1_084ENDINGG_9</vt:lpstr>
      <vt:lpstr>GMIC_22A_SCDPT1!SCDPT1_0909999999_10</vt:lpstr>
      <vt:lpstr>GMIC_22A_SCDPT1!SCDPT1_0909999999_11</vt:lpstr>
      <vt:lpstr>GMIC_22A_SCDPT1!SCDPT1_0909999999_12</vt:lpstr>
      <vt:lpstr>GMIC_22A_SCDPT1!SCDPT1_0909999999_13</vt:lpstr>
      <vt:lpstr>GMIC_22A_SCDPT1!SCDPT1_0909999999_14</vt:lpstr>
      <vt:lpstr>GMIC_22A_SCDPT1!SCDPT1_0909999999_15</vt:lpstr>
      <vt:lpstr>GMIC_22A_SCDPT1!SCDPT1_0909999999_19</vt:lpstr>
      <vt:lpstr>GMIC_22A_SCDPT1!SCDPT1_0909999999_20</vt:lpstr>
      <vt:lpstr>GMIC_22A_SCDPT1!SCDPT1_0909999999_7</vt:lpstr>
      <vt:lpstr>GMIC_22A_SCDPT1!SCDPT1_0909999999_9</vt:lpstr>
      <vt:lpstr>GMIC_22A_SCDPT1!SCDPT1_1010000000_Range</vt:lpstr>
      <vt:lpstr>GMIC_22A_SCDPT1!SCDPT1_1010000001_1</vt:lpstr>
      <vt:lpstr>GMIC_22A_SCDPT1!SCDPT1_1010000001_10</vt:lpstr>
      <vt:lpstr>GMIC_22A_SCDPT1!SCDPT1_1010000001_11</vt:lpstr>
      <vt:lpstr>GMIC_22A_SCDPT1!SCDPT1_1010000001_12</vt:lpstr>
      <vt:lpstr>GMIC_22A_SCDPT1!SCDPT1_1010000001_13</vt:lpstr>
      <vt:lpstr>GMIC_22A_SCDPT1!SCDPT1_1010000001_14</vt:lpstr>
      <vt:lpstr>GMIC_22A_SCDPT1!SCDPT1_1010000001_15</vt:lpstr>
      <vt:lpstr>GMIC_22A_SCDPT1!SCDPT1_1010000001_16</vt:lpstr>
      <vt:lpstr>GMIC_22A_SCDPT1!SCDPT1_1010000001_17</vt:lpstr>
      <vt:lpstr>GMIC_22A_SCDPT1!SCDPT1_1010000001_18</vt:lpstr>
      <vt:lpstr>GMIC_22A_SCDPT1!SCDPT1_1010000001_19</vt:lpstr>
      <vt:lpstr>GMIC_22A_SCDPT1!SCDPT1_1010000001_2</vt:lpstr>
      <vt:lpstr>GMIC_22A_SCDPT1!SCDPT1_1010000001_20</vt:lpstr>
      <vt:lpstr>GMIC_22A_SCDPT1!SCDPT1_1010000001_21</vt:lpstr>
      <vt:lpstr>GMIC_22A_SCDPT1!SCDPT1_1010000001_22</vt:lpstr>
      <vt:lpstr>GMIC_22A_SCDPT1!SCDPT1_1010000001_24</vt:lpstr>
      <vt:lpstr>GMIC_22A_SCDPT1!SCDPT1_1010000001_25</vt:lpstr>
      <vt:lpstr>GMIC_22A_SCDPT1!SCDPT1_1010000001_27</vt:lpstr>
      <vt:lpstr>GMIC_22A_SCDPT1!SCDPT1_1010000001_28</vt:lpstr>
      <vt:lpstr>GMIC_22A_SCDPT1!SCDPT1_1010000001_29</vt:lpstr>
      <vt:lpstr>GMIC_22A_SCDPT1!SCDPT1_1010000001_3</vt:lpstr>
      <vt:lpstr>GMIC_22A_SCDPT1!SCDPT1_1010000001_30</vt:lpstr>
      <vt:lpstr>GMIC_22A_SCDPT1!SCDPT1_1010000001_31</vt:lpstr>
      <vt:lpstr>GMIC_22A_SCDPT1!SCDPT1_1010000001_32</vt:lpstr>
      <vt:lpstr>GMIC_22A_SCDPT1!SCDPT1_1010000001_33</vt:lpstr>
      <vt:lpstr>GMIC_22A_SCDPT1!SCDPT1_1010000001_34</vt:lpstr>
      <vt:lpstr>GMIC_22A_SCDPT1!SCDPT1_1010000001_35</vt:lpstr>
      <vt:lpstr>GMIC_22A_SCDPT1!SCDPT1_1010000001_36</vt:lpstr>
      <vt:lpstr>GMIC_22A_SCDPT1!SCDPT1_1010000001_4</vt:lpstr>
      <vt:lpstr>GMIC_22A_SCDPT1!SCDPT1_1010000001_5</vt:lpstr>
      <vt:lpstr>GMIC_22A_SCDPT1!SCDPT1_1010000001_6.01</vt:lpstr>
      <vt:lpstr>GMIC_22A_SCDPT1!SCDPT1_1010000001_6.02</vt:lpstr>
      <vt:lpstr>GMIC_22A_SCDPT1!SCDPT1_1010000001_6.03</vt:lpstr>
      <vt:lpstr>GMIC_22A_SCDPT1!SCDPT1_1010000001_7</vt:lpstr>
      <vt:lpstr>GMIC_22A_SCDPT1!SCDPT1_1010000001_8</vt:lpstr>
      <vt:lpstr>GMIC_22A_SCDPT1!SCDPT1_1010000001_9</vt:lpstr>
      <vt:lpstr>GMIC_22A_SCDPT1!SCDPT1_1019999999_10</vt:lpstr>
      <vt:lpstr>GMIC_22A_SCDPT1!SCDPT1_1019999999_11</vt:lpstr>
      <vt:lpstr>GMIC_22A_SCDPT1!SCDPT1_1019999999_12</vt:lpstr>
      <vt:lpstr>GMIC_22A_SCDPT1!SCDPT1_1019999999_13</vt:lpstr>
      <vt:lpstr>GMIC_22A_SCDPT1!SCDPT1_1019999999_14</vt:lpstr>
      <vt:lpstr>GMIC_22A_SCDPT1!SCDPT1_1019999999_15</vt:lpstr>
      <vt:lpstr>GMIC_22A_SCDPT1!SCDPT1_1019999999_19</vt:lpstr>
      <vt:lpstr>GMIC_22A_SCDPT1!SCDPT1_1019999999_20</vt:lpstr>
      <vt:lpstr>GMIC_22A_SCDPT1!SCDPT1_1019999999_7</vt:lpstr>
      <vt:lpstr>GMIC_22A_SCDPT1!SCDPT1_1019999999_9</vt:lpstr>
      <vt:lpstr>GMIC_22A_SCDPT1!SCDPT1_101BEGINNG_1</vt:lpstr>
      <vt:lpstr>GMIC_22A_SCDPT1!SCDPT1_101BEGINNG_10</vt:lpstr>
      <vt:lpstr>GMIC_22A_SCDPT1!SCDPT1_101BEGINNG_11</vt:lpstr>
      <vt:lpstr>GMIC_22A_SCDPT1!SCDPT1_101BEGINNG_12</vt:lpstr>
      <vt:lpstr>GMIC_22A_SCDPT1!SCDPT1_101BEGINNG_13</vt:lpstr>
      <vt:lpstr>GMIC_22A_SCDPT1!SCDPT1_101BEGINNG_14</vt:lpstr>
      <vt:lpstr>GMIC_22A_SCDPT1!SCDPT1_101BEGINNG_15</vt:lpstr>
      <vt:lpstr>GMIC_22A_SCDPT1!SCDPT1_101BEGINNG_16</vt:lpstr>
      <vt:lpstr>GMIC_22A_SCDPT1!SCDPT1_101BEGINNG_17</vt:lpstr>
      <vt:lpstr>GMIC_22A_SCDPT1!SCDPT1_101BEGINNG_18</vt:lpstr>
      <vt:lpstr>GMIC_22A_SCDPT1!SCDPT1_101BEGINNG_19</vt:lpstr>
      <vt:lpstr>GMIC_22A_SCDPT1!SCDPT1_101BEGINNG_2</vt:lpstr>
      <vt:lpstr>GMIC_22A_SCDPT1!SCDPT1_101BEGINNG_20</vt:lpstr>
      <vt:lpstr>GMIC_22A_SCDPT1!SCDPT1_101BEGINNG_21</vt:lpstr>
      <vt:lpstr>GMIC_22A_SCDPT1!SCDPT1_101BEGINNG_22</vt:lpstr>
      <vt:lpstr>GMIC_22A_SCDPT1!SCDPT1_101BEGINNG_23</vt:lpstr>
      <vt:lpstr>GMIC_22A_SCDPT1!SCDPT1_101BEGINNG_24</vt:lpstr>
      <vt:lpstr>GMIC_22A_SCDPT1!SCDPT1_101BEGINNG_25</vt:lpstr>
      <vt:lpstr>GMIC_22A_SCDPT1!SCDPT1_101BEGINNG_26</vt:lpstr>
      <vt:lpstr>GMIC_22A_SCDPT1!SCDPT1_101BEGINNG_27</vt:lpstr>
      <vt:lpstr>GMIC_22A_SCDPT1!SCDPT1_101BEGINNG_28</vt:lpstr>
      <vt:lpstr>GMIC_22A_SCDPT1!SCDPT1_101BEGINNG_29</vt:lpstr>
      <vt:lpstr>GMIC_22A_SCDPT1!SCDPT1_101BEGINNG_3</vt:lpstr>
      <vt:lpstr>GMIC_22A_SCDPT1!SCDPT1_101BEGINNG_30</vt:lpstr>
      <vt:lpstr>GMIC_22A_SCDPT1!SCDPT1_101BEGINNG_31</vt:lpstr>
      <vt:lpstr>GMIC_22A_SCDPT1!SCDPT1_101BEGINNG_32</vt:lpstr>
      <vt:lpstr>GMIC_22A_SCDPT1!SCDPT1_101BEGINNG_33</vt:lpstr>
      <vt:lpstr>GMIC_22A_SCDPT1!SCDPT1_101BEGINNG_34</vt:lpstr>
      <vt:lpstr>GMIC_22A_SCDPT1!SCDPT1_101BEGINNG_35</vt:lpstr>
      <vt:lpstr>GMIC_22A_SCDPT1!SCDPT1_101BEGINNG_36</vt:lpstr>
      <vt:lpstr>GMIC_22A_SCDPT1!SCDPT1_101BEGINNG_4</vt:lpstr>
      <vt:lpstr>GMIC_22A_SCDPT1!SCDPT1_101BEGINNG_5</vt:lpstr>
      <vt:lpstr>GMIC_22A_SCDPT1!SCDPT1_101BEGINNG_6.01</vt:lpstr>
      <vt:lpstr>GMIC_22A_SCDPT1!SCDPT1_101BEGINNG_6.02</vt:lpstr>
      <vt:lpstr>GMIC_22A_SCDPT1!SCDPT1_101BEGINNG_6.03</vt:lpstr>
      <vt:lpstr>GMIC_22A_SCDPT1!SCDPT1_101BEGINNG_7</vt:lpstr>
      <vt:lpstr>GMIC_22A_SCDPT1!SCDPT1_101BEGINNG_8</vt:lpstr>
      <vt:lpstr>GMIC_22A_SCDPT1!SCDPT1_101BEGINNG_9</vt:lpstr>
      <vt:lpstr>GMIC_22A_SCDPT1!SCDPT1_101ENDINGG_10</vt:lpstr>
      <vt:lpstr>GMIC_22A_SCDPT1!SCDPT1_101ENDINGG_11</vt:lpstr>
      <vt:lpstr>GMIC_22A_SCDPT1!SCDPT1_101ENDINGG_12</vt:lpstr>
      <vt:lpstr>GMIC_22A_SCDPT1!SCDPT1_101ENDINGG_13</vt:lpstr>
      <vt:lpstr>GMIC_22A_SCDPT1!SCDPT1_101ENDINGG_14</vt:lpstr>
      <vt:lpstr>GMIC_22A_SCDPT1!SCDPT1_101ENDINGG_15</vt:lpstr>
      <vt:lpstr>GMIC_22A_SCDPT1!SCDPT1_101ENDINGG_16</vt:lpstr>
      <vt:lpstr>GMIC_22A_SCDPT1!SCDPT1_101ENDINGG_17</vt:lpstr>
      <vt:lpstr>GMIC_22A_SCDPT1!SCDPT1_101ENDINGG_18</vt:lpstr>
      <vt:lpstr>GMIC_22A_SCDPT1!SCDPT1_101ENDINGG_19</vt:lpstr>
      <vt:lpstr>GMIC_22A_SCDPT1!SCDPT1_101ENDINGG_2</vt:lpstr>
      <vt:lpstr>GMIC_22A_SCDPT1!SCDPT1_101ENDINGG_20</vt:lpstr>
      <vt:lpstr>GMIC_22A_SCDPT1!SCDPT1_101ENDINGG_21</vt:lpstr>
      <vt:lpstr>GMIC_22A_SCDPT1!SCDPT1_101ENDINGG_22</vt:lpstr>
      <vt:lpstr>GMIC_22A_SCDPT1!SCDPT1_101ENDINGG_23</vt:lpstr>
      <vt:lpstr>GMIC_22A_SCDPT1!SCDPT1_101ENDINGG_24</vt:lpstr>
      <vt:lpstr>GMIC_22A_SCDPT1!SCDPT1_101ENDINGG_25</vt:lpstr>
      <vt:lpstr>GMIC_22A_SCDPT1!SCDPT1_101ENDINGG_26</vt:lpstr>
      <vt:lpstr>GMIC_22A_SCDPT1!SCDPT1_101ENDINGG_27</vt:lpstr>
      <vt:lpstr>GMIC_22A_SCDPT1!SCDPT1_101ENDINGG_28</vt:lpstr>
      <vt:lpstr>GMIC_22A_SCDPT1!SCDPT1_101ENDINGG_29</vt:lpstr>
      <vt:lpstr>GMIC_22A_SCDPT1!SCDPT1_101ENDINGG_3</vt:lpstr>
      <vt:lpstr>GMIC_22A_SCDPT1!SCDPT1_101ENDINGG_30</vt:lpstr>
      <vt:lpstr>GMIC_22A_SCDPT1!SCDPT1_101ENDINGG_31</vt:lpstr>
      <vt:lpstr>GMIC_22A_SCDPT1!SCDPT1_101ENDINGG_32</vt:lpstr>
      <vt:lpstr>GMIC_22A_SCDPT1!SCDPT1_101ENDINGG_33</vt:lpstr>
      <vt:lpstr>GMIC_22A_SCDPT1!SCDPT1_101ENDINGG_34</vt:lpstr>
      <vt:lpstr>GMIC_22A_SCDPT1!SCDPT1_101ENDINGG_35</vt:lpstr>
      <vt:lpstr>GMIC_22A_SCDPT1!SCDPT1_101ENDINGG_36</vt:lpstr>
      <vt:lpstr>GMIC_22A_SCDPT1!SCDPT1_101ENDINGG_4</vt:lpstr>
      <vt:lpstr>GMIC_22A_SCDPT1!SCDPT1_101ENDINGG_5</vt:lpstr>
      <vt:lpstr>GMIC_22A_SCDPT1!SCDPT1_101ENDINGG_6.01</vt:lpstr>
      <vt:lpstr>GMIC_22A_SCDPT1!SCDPT1_101ENDINGG_6.02</vt:lpstr>
      <vt:lpstr>GMIC_22A_SCDPT1!SCDPT1_101ENDINGG_6.03</vt:lpstr>
      <vt:lpstr>GMIC_22A_SCDPT1!SCDPT1_101ENDINGG_7</vt:lpstr>
      <vt:lpstr>GMIC_22A_SCDPT1!SCDPT1_101ENDINGG_8</vt:lpstr>
      <vt:lpstr>GMIC_22A_SCDPT1!SCDPT1_101ENDINGG_9</vt:lpstr>
      <vt:lpstr>GMIC_22A_SCDPT1!SCDPT1_1020000000_Range</vt:lpstr>
      <vt:lpstr>GMIC_22A_SCDPT1!SCDPT1_1029999999_10</vt:lpstr>
      <vt:lpstr>GMIC_22A_SCDPT1!SCDPT1_1029999999_11</vt:lpstr>
      <vt:lpstr>GMIC_22A_SCDPT1!SCDPT1_1029999999_12</vt:lpstr>
      <vt:lpstr>GMIC_22A_SCDPT1!SCDPT1_1029999999_13</vt:lpstr>
      <vt:lpstr>GMIC_22A_SCDPT1!SCDPT1_1029999999_14</vt:lpstr>
      <vt:lpstr>GMIC_22A_SCDPT1!SCDPT1_1029999999_15</vt:lpstr>
      <vt:lpstr>GMIC_22A_SCDPT1!SCDPT1_1029999999_19</vt:lpstr>
      <vt:lpstr>GMIC_22A_SCDPT1!SCDPT1_1029999999_20</vt:lpstr>
      <vt:lpstr>GMIC_22A_SCDPT1!SCDPT1_1029999999_7</vt:lpstr>
      <vt:lpstr>GMIC_22A_SCDPT1!SCDPT1_1029999999_9</vt:lpstr>
      <vt:lpstr>GMIC_22A_SCDPT1!SCDPT1_102BEGINNG_1</vt:lpstr>
      <vt:lpstr>GMIC_22A_SCDPT1!SCDPT1_102BEGINNG_10</vt:lpstr>
      <vt:lpstr>GMIC_22A_SCDPT1!SCDPT1_102BEGINNG_11</vt:lpstr>
      <vt:lpstr>GMIC_22A_SCDPT1!SCDPT1_102BEGINNG_12</vt:lpstr>
      <vt:lpstr>GMIC_22A_SCDPT1!SCDPT1_102BEGINNG_13</vt:lpstr>
      <vt:lpstr>GMIC_22A_SCDPT1!SCDPT1_102BEGINNG_14</vt:lpstr>
      <vt:lpstr>GMIC_22A_SCDPT1!SCDPT1_102BEGINNG_15</vt:lpstr>
      <vt:lpstr>GMIC_22A_SCDPT1!SCDPT1_102BEGINNG_16</vt:lpstr>
      <vt:lpstr>GMIC_22A_SCDPT1!SCDPT1_102BEGINNG_17</vt:lpstr>
      <vt:lpstr>GMIC_22A_SCDPT1!SCDPT1_102BEGINNG_18</vt:lpstr>
      <vt:lpstr>GMIC_22A_SCDPT1!SCDPT1_102BEGINNG_19</vt:lpstr>
      <vt:lpstr>GMIC_22A_SCDPT1!SCDPT1_102BEGINNG_2</vt:lpstr>
      <vt:lpstr>GMIC_22A_SCDPT1!SCDPT1_102BEGINNG_20</vt:lpstr>
      <vt:lpstr>GMIC_22A_SCDPT1!SCDPT1_102BEGINNG_21</vt:lpstr>
      <vt:lpstr>GMIC_22A_SCDPT1!SCDPT1_102BEGINNG_22</vt:lpstr>
      <vt:lpstr>GMIC_22A_SCDPT1!SCDPT1_102BEGINNG_23</vt:lpstr>
      <vt:lpstr>GMIC_22A_SCDPT1!SCDPT1_102BEGINNG_24</vt:lpstr>
      <vt:lpstr>GMIC_22A_SCDPT1!SCDPT1_102BEGINNG_25</vt:lpstr>
      <vt:lpstr>GMIC_22A_SCDPT1!SCDPT1_102BEGINNG_26</vt:lpstr>
      <vt:lpstr>GMIC_22A_SCDPT1!SCDPT1_102BEGINNG_27</vt:lpstr>
      <vt:lpstr>GMIC_22A_SCDPT1!SCDPT1_102BEGINNG_28</vt:lpstr>
      <vt:lpstr>GMIC_22A_SCDPT1!SCDPT1_102BEGINNG_29</vt:lpstr>
      <vt:lpstr>GMIC_22A_SCDPT1!SCDPT1_102BEGINNG_3</vt:lpstr>
      <vt:lpstr>GMIC_22A_SCDPT1!SCDPT1_102BEGINNG_30</vt:lpstr>
      <vt:lpstr>GMIC_22A_SCDPT1!SCDPT1_102BEGINNG_31</vt:lpstr>
      <vt:lpstr>GMIC_22A_SCDPT1!SCDPT1_102BEGINNG_32</vt:lpstr>
      <vt:lpstr>GMIC_22A_SCDPT1!SCDPT1_102BEGINNG_33</vt:lpstr>
      <vt:lpstr>GMIC_22A_SCDPT1!SCDPT1_102BEGINNG_34</vt:lpstr>
      <vt:lpstr>GMIC_22A_SCDPT1!SCDPT1_102BEGINNG_35</vt:lpstr>
      <vt:lpstr>GMIC_22A_SCDPT1!SCDPT1_102BEGINNG_36</vt:lpstr>
      <vt:lpstr>GMIC_22A_SCDPT1!SCDPT1_102BEGINNG_4</vt:lpstr>
      <vt:lpstr>GMIC_22A_SCDPT1!SCDPT1_102BEGINNG_5</vt:lpstr>
      <vt:lpstr>GMIC_22A_SCDPT1!SCDPT1_102BEGINNG_6.01</vt:lpstr>
      <vt:lpstr>GMIC_22A_SCDPT1!SCDPT1_102BEGINNG_6.02</vt:lpstr>
      <vt:lpstr>GMIC_22A_SCDPT1!SCDPT1_102BEGINNG_6.03</vt:lpstr>
      <vt:lpstr>GMIC_22A_SCDPT1!SCDPT1_102BEGINNG_7</vt:lpstr>
      <vt:lpstr>GMIC_22A_SCDPT1!SCDPT1_102BEGINNG_8</vt:lpstr>
      <vt:lpstr>GMIC_22A_SCDPT1!SCDPT1_102BEGINNG_9</vt:lpstr>
      <vt:lpstr>GMIC_22A_SCDPT1!SCDPT1_102ENDINGG_10</vt:lpstr>
      <vt:lpstr>GMIC_22A_SCDPT1!SCDPT1_102ENDINGG_11</vt:lpstr>
      <vt:lpstr>GMIC_22A_SCDPT1!SCDPT1_102ENDINGG_12</vt:lpstr>
      <vt:lpstr>GMIC_22A_SCDPT1!SCDPT1_102ENDINGG_13</vt:lpstr>
      <vt:lpstr>GMIC_22A_SCDPT1!SCDPT1_102ENDINGG_14</vt:lpstr>
      <vt:lpstr>GMIC_22A_SCDPT1!SCDPT1_102ENDINGG_15</vt:lpstr>
      <vt:lpstr>GMIC_22A_SCDPT1!SCDPT1_102ENDINGG_16</vt:lpstr>
      <vt:lpstr>GMIC_22A_SCDPT1!SCDPT1_102ENDINGG_17</vt:lpstr>
      <vt:lpstr>GMIC_22A_SCDPT1!SCDPT1_102ENDINGG_18</vt:lpstr>
      <vt:lpstr>GMIC_22A_SCDPT1!SCDPT1_102ENDINGG_19</vt:lpstr>
      <vt:lpstr>GMIC_22A_SCDPT1!SCDPT1_102ENDINGG_2</vt:lpstr>
      <vt:lpstr>GMIC_22A_SCDPT1!SCDPT1_102ENDINGG_20</vt:lpstr>
      <vt:lpstr>GMIC_22A_SCDPT1!SCDPT1_102ENDINGG_21</vt:lpstr>
      <vt:lpstr>GMIC_22A_SCDPT1!SCDPT1_102ENDINGG_22</vt:lpstr>
      <vt:lpstr>GMIC_22A_SCDPT1!SCDPT1_102ENDINGG_23</vt:lpstr>
      <vt:lpstr>GMIC_22A_SCDPT1!SCDPT1_102ENDINGG_24</vt:lpstr>
      <vt:lpstr>GMIC_22A_SCDPT1!SCDPT1_102ENDINGG_25</vt:lpstr>
      <vt:lpstr>GMIC_22A_SCDPT1!SCDPT1_102ENDINGG_26</vt:lpstr>
      <vt:lpstr>GMIC_22A_SCDPT1!SCDPT1_102ENDINGG_27</vt:lpstr>
      <vt:lpstr>GMIC_22A_SCDPT1!SCDPT1_102ENDINGG_28</vt:lpstr>
      <vt:lpstr>GMIC_22A_SCDPT1!SCDPT1_102ENDINGG_29</vt:lpstr>
      <vt:lpstr>GMIC_22A_SCDPT1!SCDPT1_102ENDINGG_3</vt:lpstr>
      <vt:lpstr>GMIC_22A_SCDPT1!SCDPT1_102ENDINGG_30</vt:lpstr>
      <vt:lpstr>GMIC_22A_SCDPT1!SCDPT1_102ENDINGG_31</vt:lpstr>
      <vt:lpstr>GMIC_22A_SCDPT1!SCDPT1_102ENDINGG_32</vt:lpstr>
      <vt:lpstr>GMIC_22A_SCDPT1!SCDPT1_102ENDINGG_33</vt:lpstr>
      <vt:lpstr>GMIC_22A_SCDPT1!SCDPT1_102ENDINGG_34</vt:lpstr>
      <vt:lpstr>GMIC_22A_SCDPT1!SCDPT1_102ENDINGG_35</vt:lpstr>
      <vt:lpstr>GMIC_22A_SCDPT1!SCDPT1_102ENDINGG_36</vt:lpstr>
      <vt:lpstr>GMIC_22A_SCDPT1!SCDPT1_102ENDINGG_4</vt:lpstr>
      <vt:lpstr>GMIC_22A_SCDPT1!SCDPT1_102ENDINGG_5</vt:lpstr>
      <vt:lpstr>GMIC_22A_SCDPT1!SCDPT1_102ENDINGG_6.01</vt:lpstr>
      <vt:lpstr>GMIC_22A_SCDPT1!SCDPT1_102ENDINGG_6.02</vt:lpstr>
      <vt:lpstr>GMIC_22A_SCDPT1!SCDPT1_102ENDINGG_6.03</vt:lpstr>
      <vt:lpstr>GMIC_22A_SCDPT1!SCDPT1_102ENDINGG_7</vt:lpstr>
      <vt:lpstr>GMIC_22A_SCDPT1!SCDPT1_102ENDINGG_8</vt:lpstr>
      <vt:lpstr>GMIC_22A_SCDPT1!SCDPT1_102ENDINGG_9</vt:lpstr>
      <vt:lpstr>GMIC_22A_SCDPT1!SCDPT1_1030000000_Range</vt:lpstr>
      <vt:lpstr>GMIC_22A_SCDPT1!SCDPT1_1039999999_10</vt:lpstr>
      <vt:lpstr>GMIC_22A_SCDPT1!SCDPT1_1039999999_11</vt:lpstr>
      <vt:lpstr>GMIC_22A_SCDPT1!SCDPT1_1039999999_12</vt:lpstr>
      <vt:lpstr>GMIC_22A_SCDPT1!SCDPT1_1039999999_13</vt:lpstr>
      <vt:lpstr>GMIC_22A_SCDPT1!SCDPT1_1039999999_14</vt:lpstr>
      <vt:lpstr>GMIC_22A_SCDPT1!SCDPT1_1039999999_15</vt:lpstr>
      <vt:lpstr>GMIC_22A_SCDPT1!SCDPT1_1039999999_19</vt:lpstr>
      <vt:lpstr>GMIC_22A_SCDPT1!SCDPT1_1039999999_20</vt:lpstr>
      <vt:lpstr>GMIC_22A_SCDPT1!SCDPT1_1039999999_7</vt:lpstr>
      <vt:lpstr>GMIC_22A_SCDPT1!SCDPT1_1039999999_9</vt:lpstr>
      <vt:lpstr>GMIC_22A_SCDPT1!SCDPT1_103BEGINNG_1</vt:lpstr>
      <vt:lpstr>GMIC_22A_SCDPT1!SCDPT1_103BEGINNG_10</vt:lpstr>
      <vt:lpstr>GMIC_22A_SCDPT1!SCDPT1_103BEGINNG_11</vt:lpstr>
      <vt:lpstr>GMIC_22A_SCDPT1!SCDPT1_103BEGINNG_12</vt:lpstr>
      <vt:lpstr>GMIC_22A_SCDPT1!SCDPT1_103BEGINNG_13</vt:lpstr>
      <vt:lpstr>GMIC_22A_SCDPT1!SCDPT1_103BEGINNG_14</vt:lpstr>
      <vt:lpstr>GMIC_22A_SCDPT1!SCDPT1_103BEGINNG_15</vt:lpstr>
      <vt:lpstr>GMIC_22A_SCDPT1!SCDPT1_103BEGINNG_16</vt:lpstr>
      <vt:lpstr>GMIC_22A_SCDPT1!SCDPT1_103BEGINNG_17</vt:lpstr>
      <vt:lpstr>GMIC_22A_SCDPT1!SCDPT1_103BEGINNG_18</vt:lpstr>
      <vt:lpstr>GMIC_22A_SCDPT1!SCDPT1_103BEGINNG_19</vt:lpstr>
      <vt:lpstr>GMIC_22A_SCDPT1!SCDPT1_103BEGINNG_2</vt:lpstr>
      <vt:lpstr>GMIC_22A_SCDPT1!SCDPT1_103BEGINNG_20</vt:lpstr>
      <vt:lpstr>GMIC_22A_SCDPT1!SCDPT1_103BEGINNG_21</vt:lpstr>
      <vt:lpstr>GMIC_22A_SCDPT1!SCDPT1_103BEGINNG_22</vt:lpstr>
      <vt:lpstr>GMIC_22A_SCDPT1!SCDPT1_103BEGINNG_23</vt:lpstr>
      <vt:lpstr>GMIC_22A_SCDPT1!SCDPT1_103BEGINNG_24</vt:lpstr>
      <vt:lpstr>GMIC_22A_SCDPT1!SCDPT1_103BEGINNG_25</vt:lpstr>
      <vt:lpstr>GMIC_22A_SCDPT1!SCDPT1_103BEGINNG_26</vt:lpstr>
      <vt:lpstr>GMIC_22A_SCDPT1!SCDPT1_103BEGINNG_27</vt:lpstr>
      <vt:lpstr>GMIC_22A_SCDPT1!SCDPT1_103BEGINNG_28</vt:lpstr>
      <vt:lpstr>GMIC_22A_SCDPT1!SCDPT1_103BEGINNG_29</vt:lpstr>
      <vt:lpstr>GMIC_22A_SCDPT1!SCDPT1_103BEGINNG_3</vt:lpstr>
      <vt:lpstr>GMIC_22A_SCDPT1!SCDPT1_103BEGINNG_30</vt:lpstr>
      <vt:lpstr>GMIC_22A_SCDPT1!SCDPT1_103BEGINNG_31</vt:lpstr>
      <vt:lpstr>GMIC_22A_SCDPT1!SCDPT1_103BEGINNG_32</vt:lpstr>
      <vt:lpstr>GMIC_22A_SCDPT1!SCDPT1_103BEGINNG_33</vt:lpstr>
      <vt:lpstr>GMIC_22A_SCDPT1!SCDPT1_103BEGINNG_34</vt:lpstr>
      <vt:lpstr>GMIC_22A_SCDPT1!SCDPT1_103BEGINNG_35</vt:lpstr>
      <vt:lpstr>GMIC_22A_SCDPT1!SCDPT1_103BEGINNG_36</vt:lpstr>
      <vt:lpstr>GMIC_22A_SCDPT1!SCDPT1_103BEGINNG_4</vt:lpstr>
      <vt:lpstr>GMIC_22A_SCDPT1!SCDPT1_103BEGINNG_5</vt:lpstr>
      <vt:lpstr>GMIC_22A_SCDPT1!SCDPT1_103BEGINNG_6.01</vt:lpstr>
      <vt:lpstr>GMIC_22A_SCDPT1!SCDPT1_103BEGINNG_6.02</vt:lpstr>
      <vt:lpstr>GMIC_22A_SCDPT1!SCDPT1_103BEGINNG_6.03</vt:lpstr>
      <vt:lpstr>GMIC_22A_SCDPT1!SCDPT1_103BEGINNG_7</vt:lpstr>
      <vt:lpstr>GMIC_22A_SCDPT1!SCDPT1_103BEGINNG_8</vt:lpstr>
      <vt:lpstr>GMIC_22A_SCDPT1!SCDPT1_103BEGINNG_9</vt:lpstr>
      <vt:lpstr>GMIC_22A_SCDPT1!SCDPT1_103ENDINGG_10</vt:lpstr>
      <vt:lpstr>GMIC_22A_SCDPT1!SCDPT1_103ENDINGG_11</vt:lpstr>
      <vt:lpstr>GMIC_22A_SCDPT1!SCDPT1_103ENDINGG_12</vt:lpstr>
      <vt:lpstr>GMIC_22A_SCDPT1!SCDPT1_103ENDINGG_13</vt:lpstr>
      <vt:lpstr>GMIC_22A_SCDPT1!SCDPT1_103ENDINGG_14</vt:lpstr>
      <vt:lpstr>GMIC_22A_SCDPT1!SCDPT1_103ENDINGG_15</vt:lpstr>
      <vt:lpstr>GMIC_22A_SCDPT1!SCDPT1_103ENDINGG_16</vt:lpstr>
      <vt:lpstr>GMIC_22A_SCDPT1!SCDPT1_103ENDINGG_17</vt:lpstr>
      <vt:lpstr>GMIC_22A_SCDPT1!SCDPT1_103ENDINGG_18</vt:lpstr>
      <vt:lpstr>GMIC_22A_SCDPT1!SCDPT1_103ENDINGG_19</vt:lpstr>
      <vt:lpstr>GMIC_22A_SCDPT1!SCDPT1_103ENDINGG_2</vt:lpstr>
      <vt:lpstr>GMIC_22A_SCDPT1!SCDPT1_103ENDINGG_20</vt:lpstr>
      <vt:lpstr>GMIC_22A_SCDPT1!SCDPT1_103ENDINGG_21</vt:lpstr>
      <vt:lpstr>GMIC_22A_SCDPT1!SCDPT1_103ENDINGG_22</vt:lpstr>
      <vt:lpstr>GMIC_22A_SCDPT1!SCDPT1_103ENDINGG_23</vt:lpstr>
      <vt:lpstr>GMIC_22A_SCDPT1!SCDPT1_103ENDINGG_24</vt:lpstr>
      <vt:lpstr>GMIC_22A_SCDPT1!SCDPT1_103ENDINGG_25</vt:lpstr>
      <vt:lpstr>GMIC_22A_SCDPT1!SCDPT1_103ENDINGG_26</vt:lpstr>
      <vt:lpstr>GMIC_22A_SCDPT1!SCDPT1_103ENDINGG_27</vt:lpstr>
      <vt:lpstr>GMIC_22A_SCDPT1!SCDPT1_103ENDINGG_28</vt:lpstr>
      <vt:lpstr>GMIC_22A_SCDPT1!SCDPT1_103ENDINGG_29</vt:lpstr>
      <vt:lpstr>GMIC_22A_SCDPT1!SCDPT1_103ENDINGG_3</vt:lpstr>
      <vt:lpstr>GMIC_22A_SCDPT1!SCDPT1_103ENDINGG_30</vt:lpstr>
      <vt:lpstr>GMIC_22A_SCDPT1!SCDPT1_103ENDINGG_31</vt:lpstr>
      <vt:lpstr>GMIC_22A_SCDPT1!SCDPT1_103ENDINGG_32</vt:lpstr>
      <vt:lpstr>GMIC_22A_SCDPT1!SCDPT1_103ENDINGG_33</vt:lpstr>
      <vt:lpstr>GMIC_22A_SCDPT1!SCDPT1_103ENDINGG_34</vt:lpstr>
      <vt:lpstr>GMIC_22A_SCDPT1!SCDPT1_103ENDINGG_35</vt:lpstr>
      <vt:lpstr>GMIC_22A_SCDPT1!SCDPT1_103ENDINGG_36</vt:lpstr>
      <vt:lpstr>GMIC_22A_SCDPT1!SCDPT1_103ENDINGG_4</vt:lpstr>
      <vt:lpstr>GMIC_22A_SCDPT1!SCDPT1_103ENDINGG_5</vt:lpstr>
      <vt:lpstr>GMIC_22A_SCDPT1!SCDPT1_103ENDINGG_6.01</vt:lpstr>
      <vt:lpstr>GMIC_22A_SCDPT1!SCDPT1_103ENDINGG_6.02</vt:lpstr>
      <vt:lpstr>GMIC_22A_SCDPT1!SCDPT1_103ENDINGG_6.03</vt:lpstr>
      <vt:lpstr>GMIC_22A_SCDPT1!SCDPT1_103ENDINGG_7</vt:lpstr>
      <vt:lpstr>GMIC_22A_SCDPT1!SCDPT1_103ENDINGG_8</vt:lpstr>
      <vt:lpstr>GMIC_22A_SCDPT1!SCDPT1_103ENDINGG_9</vt:lpstr>
      <vt:lpstr>GMIC_22A_SCDPT1!SCDPT1_1040000000_Range</vt:lpstr>
      <vt:lpstr>GMIC_22A_SCDPT1!SCDPT1_1040000001_1</vt:lpstr>
      <vt:lpstr>GMIC_22A_SCDPT1!SCDPT1_1040000001_10</vt:lpstr>
      <vt:lpstr>GMIC_22A_SCDPT1!SCDPT1_1040000001_11</vt:lpstr>
      <vt:lpstr>GMIC_22A_SCDPT1!SCDPT1_1040000001_12</vt:lpstr>
      <vt:lpstr>GMIC_22A_SCDPT1!SCDPT1_1040000001_13</vt:lpstr>
      <vt:lpstr>GMIC_22A_SCDPT1!SCDPT1_1040000001_14</vt:lpstr>
      <vt:lpstr>GMIC_22A_SCDPT1!SCDPT1_1040000001_15</vt:lpstr>
      <vt:lpstr>GMIC_22A_SCDPT1!SCDPT1_1040000001_16</vt:lpstr>
      <vt:lpstr>GMIC_22A_SCDPT1!SCDPT1_1040000001_17</vt:lpstr>
      <vt:lpstr>GMIC_22A_SCDPT1!SCDPT1_1040000001_18</vt:lpstr>
      <vt:lpstr>GMIC_22A_SCDPT1!SCDPT1_1040000001_19</vt:lpstr>
      <vt:lpstr>GMIC_22A_SCDPT1!SCDPT1_1040000001_2</vt:lpstr>
      <vt:lpstr>GMIC_22A_SCDPT1!SCDPT1_1040000001_20</vt:lpstr>
      <vt:lpstr>GMIC_22A_SCDPT1!SCDPT1_1040000001_21</vt:lpstr>
      <vt:lpstr>GMIC_22A_SCDPT1!SCDPT1_1040000001_22</vt:lpstr>
      <vt:lpstr>GMIC_22A_SCDPT1!SCDPT1_1040000001_24</vt:lpstr>
      <vt:lpstr>GMIC_22A_SCDPT1!SCDPT1_1040000001_25</vt:lpstr>
      <vt:lpstr>GMIC_22A_SCDPT1!SCDPT1_1040000001_26</vt:lpstr>
      <vt:lpstr>GMIC_22A_SCDPT1!SCDPT1_1040000001_27</vt:lpstr>
      <vt:lpstr>GMIC_22A_SCDPT1!SCDPT1_1040000001_28</vt:lpstr>
      <vt:lpstr>GMIC_22A_SCDPT1!SCDPT1_1040000001_29</vt:lpstr>
      <vt:lpstr>GMIC_22A_SCDPT1!SCDPT1_1040000001_3</vt:lpstr>
      <vt:lpstr>GMIC_22A_SCDPT1!SCDPT1_1040000001_30</vt:lpstr>
      <vt:lpstr>GMIC_22A_SCDPT1!SCDPT1_1040000001_31</vt:lpstr>
      <vt:lpstr>GMIC_22A_SCDPT1!SCDPT1_1040000001_32</vt:lpstr>
      <vt:lpstr>GMIC_22A_SCDPT1!SCDPT1_1040000001_33</vt:lpstr>
      <vt:lpstr>GMIC_22A_SCDPT1!SCDPT1_1040000001_34</vt:lpstr>
      <vt:lpstr>GMIC_22A_SCDPT1!SCDPT1_1040000001_35</vt:lpstr>
      <vt:lpstr>GMIC_22A_SCDPT1!SCDPT1_1040000001_36</vt:lpstr>
      <vt:lpstr>GMIC_22A_SCDPT1!SCDPT1_1040000001_4</vt:lpstr>
      <vt:lpstr>GMIC_22A_SCDPT1!SCDPT1_1040000001_5</vt:lpstr>
      <vt:lpstr>GMIC_22A_SCDPT1!SCDPT1_1040000001_6.01</vt:lpstr>
      <vt:lpstr>GMIC_22A_SCDPT1!SCDPT1_1040000001_6.02</vt:lpstr>
      <vt:lpstr>GMIC_22A_SCDPT1!SCDPT1_1040000001_6.03</vt:lpstr>
      <vt:lpstr>GMIC_22A_SCDPT1!SCDPT1_1040000001_7</vt:lpstr>
      <vt:lpstr>GMIC_22A_SCDPT1!SCDPT1_1040000001_8</vt:lpstr>
      <vt:lpstr>GMIC_22A_SCDPT1!SCDPT1_1040000001_9</vt:lpstr>
      <vt:lpstr>GMIC_22A_SCDPT1!SCDPT1_1049999999_10</vt:lpstr>
      <vt:lpstr>GMIC_22A_SCDPT1!SCDPT1_1049999999_11</vt:lpstr>
      <vt:lpstr>GMIC_22A_SCDPT1!SCDPT1_1049999999_12</vt:lpstr>
      <vt:lpstr>GMIC_22A_SCDPT1!SCDPT1_1049999999_13</vt:lpstr>
      <vt:lpstr>GMIC_22A_SCDPT1!SCDPT1_1049999999_14</vt:lpstr>
      <vt:lpstr>GMIC_22A_SCDPT1!SCDPT1_1049999999_15</vt:lpstr>
      <vt:lpstr>GMIC_22A_SCDPT1!SCDPT1_1049999999_19</vt:lpstr>
      <vt:lpstr>GMIC_22A_SCDPT1!SCDPT1_1049999999_20</vt:lpstr>
      <vt:lpstr>GMIC_22A_SCDPT1!SCDPT1_1049999999_7</vt:lpstr>
      <vt:lpstr>GMIC_22A_SCDPT1!SCDPT1_1049999999_9</vt:lpstr>
      <vt:lpstr>GMIC_22A_SCDPT1!SCDPT1_104BEGINNG_1</vt:lpstr>
      <vt:lpstr>GMIC_22A_SCDPT1!SCDPT1_104BEGINNG_10</vt:lpstr>
      <vt:lpstr>GMIC_22A_SCDPT1!SCDPT1_104BEGINNG_11</vt:lpstr>
      <vt:lpstr>GMIC_22A_SCDPT1!SCDPT1_104BEGINNG_12</vt:lpstr>
      <vt:lpstr>GMIC_22A_SCDPT1!SCDPT1_104BEGINNG_13</vt:lpstr>
      <vt:lpstr>GMIC_22A_SCDPT1!SCDPT1_104BEGINNG_14</vt:lpstr>
      <vt:lpstr>GMIC_22A_SCDPT1!SCDPT1_104BEGINNG_15</vt:lpstr>
      <vt:lpstr>GMIC_22A_SCDPT1!SCDPT1_104BEGINNG_16</vt:lpstr>
      <vt:lpstr>GMIC_22A_SCDPT1!SCDPT1_104BEGINNG_17</vt:lpstr>
      <vt:lpstr>GMIC_22A_SCDPT1!SCDPT1_104BEGINNG_18</vt:lpstr>
      <vt:lpstr>GMIC_22A_SCDPT1!SCDPT1_104BEGINNG_19</vt:lpstr>
      <vt:lpstr>GMIC_22A_SCDPT1!SCDPT1_104BEGINNG_2</vt:lpstr>
      <vt:lpstr>GMIC_22A_SCDPT1!SCDPT1_104BEGINNG_20</vt:lpstr>
      <vt:lpstr>GMIC_22A_SCDPT1!SCDPT1_104BEGINNG_21</vt:lpstr>
      <vt:lpstr>GMIC_22A_SCDPT1!SCDPT1_104BEGINNG_22</vt:lpstr>
      <vt:lpstr>GMIC_22A_SCDPT1!SCDPT1_104BEGINNG_23</vt:lpstr>
      <vt:lpstr>GMIC_22A_SCDPT1!SCDPT1_104BEGINNG_24</vt:lpstr>
      <vt:lpstr>GMIC_22A_SCDPT1!SCDPT1_104BEGINNG_25</vt:lpstr>
      <vt:lpstr>GMIC_22A_SCDPT1!SCDPT1_104BEGINNG_26</vt:lpstr>
      <vt:lpstr>GMIC_22A_SCDPT1!SCDPT1_104BEGINNG_27</vt:lpstr>
      <vt:lpstr>GMIC_22A_SCDPT1!SCDPT1_104BEGINNG_28</vt:lpstr>
      <vt:lpstr>GMIC_22A_SCDPT1!SCDPT1_104BEGINNG_29</vt:lpstr>
      <vt:lpstr>GMIC_22A_SCDPT1!SCDPT1_104BEGINNG_3</vt:lpstr>
      <vt:lpstr>GMIC_22A_SCDPT1!SCDPT1_104BEGINNG_30</vt:lpstr>
      <vt:lpstr>GMIC_22A_SCDPT1!SCDPT1_104BEGINNG_31</vt:lpstr>
      <vt:lpstr>GMIC_22A_SCDPT1!SCDPT1_104BEGINNG_32</vt:lpstr>
      <vt:lpstr>GMIC_22A_SCDPT1!SCDPT1_104BEGINNG_33</vt:lpstr>
      <vt:lpstr>GMIC_22A_SCDPT1!SCDPT1_104BEGINNG_34</vt:lpstr>
      <vt:lpstr>GMIC_22A_SCDPT1!SCDPT1_104BEGINNG_35</vt:lpstr>
      <vt:lpstr>GMIC_22A_SCDPT1!SCDPT1_104BEGINNG_36</vt:lpstr>
      <vt:lpstr>GMIC_22A_SCDPT1!SCDPT1_104BEGINNG_4</vt:lpstr>
      <vt:lpstr>GMIC_22A_SCDPT1!SCDPT1_104BEGINNG_5</vt:lpstr>
      <vt:lpstr>GMIC_22A_SCDPT1!SCDPT1_104BEGINNG_6.01</vt:lpstr>
      <vt:lpstr>GMIC_22A_SCDPT1!SCDPT1_104BEGINNG_6.02</vt:lpstr>
      <vt:lpstr>GMIC_22A_SCDPT1!SCDPT1_104BEGINNG_6.03</vt:lpstr>
      <vt:lpstr>GMIC_22A_SCDPT1!SCDPT1_104BEGINNG_7</vt:lpstr>
      <vt:lpstr>GMIC_22A_SCDPT1!SCDPT1_104BEGINNG_8</vt:lpstr>
      <vt:lpstr>GMIC_22A_SCDPT1!SCDPT1_104BEGINNG_9</vt:lpstr>
      <vt:lpstr>GMIC_22A_SCDPT1!SCDPT1_104ENDINGG_10</vt:lpstr>
      <vt:lpstr>GMIC_22A_SCDPT1!SCDPT1_104ENDINGG_11</vt:lpstr>
      <vt:lpstr>GMIC_22A_SCDPT1!SCDPT1_104ENDINGG_12</vt:lpstr>
      <vt:lpstr>GMIC_22A_SCDPT1!SCDPT1_104ENDINGG_13</vt:lpstr>
      <vt:lpstr>GMIC_22A_SCDPT1!SCDPT1_104ENDINGG_14</vt:lpstr>
      <vt:lpstr>GMIC_22A_SCDPT1!SCDPT1_104ENDINGG_15</vt:lpstr>
      <vt:lpstr>GMIC_22A_SCDPT1!SCDPT1_104ENDINGG_16</vt:lpstr>
      <vt:lpstr>GMIC_22A_SCDPT1!SCDPT1_104ENDINGG_17</vt:lpstr>
      <vt:lpstr>GMIC_22A_SCDPT1!SCDPT1_104ENDINGG_18</vt:lpstr>
      <vt:lpstr>GMIC_22A_SCDPT1!SCDPT1_104ENDINGG_19</vt:lpstr>
      <vt:lpstr>GMIC_22A_SCDPT1!SCDPT1_104ENDINGG_2</vt:lpstr>
      <vt:lpstr>GMIC_22A_SCDPT1!SCDPT1_104ENDINGG_20</vt:lpstr>
      <vt:lpstr>GMIC_22A_SCDPT1!SCDPT1_104ENDINGG_21</vt:lpstr>
      <vt:lpstr>GMIC_22A_SCDPT1!SCDPT1_104ENDINGG_22</vt:lpstr>
      <vt:lpstr>GMIC_22A_SCDPT1!SCDPT1_104ENDINGG_23</vt:lpstr>
      <vt:lpstr>GMIC_22A_SCDPT1!SCDPT1_104ENDINGG_24</vt:lpstr>
      <vt:lpstr>GMIC_22A_SCDPT1!SCDPT1_104ENDINGG_25</vt:lpstr>
      <vt:lpstr>GMIC_22A_SCDPT1!SCDPT1_104ENDINGG_26</vt:lpstr>
      <vt:lpstr>GMIC_22A_SCDPT1!SCDPT1_104ENDINGG_27</vt:lpstr>
      <vt:lpstr>GMIC_22A_SCDPT1!SCDPT1_104ENDINGG_28</vt:lpstr>
      <vt:lpstr>GMIC_22A_SCDPT1!SCDPT1_104ENDINGG_29</vt:lpstr>
      <vt:lpstr>GMIC_22A_SCDPT1!SCDPT1_104ENDINGG_3</vt:lpstr>
      <vt:lpstr>GMIC_22A_SCDPT1!SCDPT1_104ENDINGG_30</vt:lpstr>
      <vt:lpstr>GMIC_22A_SCDPT1!SCDPT1_104ENDINGG_31</vt:lpstr>
      <vt:lpstr>GMIC_22A_SCDPT1!SCDPT1_104ENDINGG_32</vt:lpstr>
      <vt:lpstr>GMIC_22A_SCDPT1!SCDPT1_104ENDINGG_33</vt:lpstr>
      <vt:lpstr>GMIC_22A_SCDPT1!SCDPT1_104ENDINGG_34</vt:lpstr>
      <vt:lpstr>GMIC_22A_SCDPT1!SCDPT1_104ENDINGG_35</vt:lpstr>
      <vt:lpstr>GMIC_22A_SCDPT1!SCDPT1_104ENDINGG_36</vt:lpstr>
      <vt:lpstr>GMIC_22A_SCDPT1!SCDPT1_104ENDINGG_4</vt:lpstr>
      <vt:lpstr>GMIC_22A_SCDPT1!SCDPT1_104ENDINGG_5</vt:lpstr>
      <vt:lpstr>GMIC_22A_SCDPT1!SCDPT1_104ENDINGG_6.01</vt:lpstr>
      <vt:lpstr>GMIC_22A_SCDPT1!SCDPT1_104ENDINGG_6.02</vt:lpstr>
      <vt:lpstr>GMIC_22A_SCDPT1!SCDPT1_104ENDINGG_6.03</vt:lpstr>
      <vt:lpstr>GMIC_22A_SCDPT1!SCDPT1_104ENDINGG_7</vt:lpstr>
      <vt:lpstr>GMIC_22A_SCDPT1!SCDPT1_104ENDINGG_8</vt:lpstr>
      <vt:lpstr>GMIC_22A_SCDPT1!SCDPT1_104ENDINGG_9</vt:lpstr>
      <vt:lpstr>GMIC_22A_SCDPT1!SCDPT1_1109999999_10</vt:lpstr>
      <vt:lpstr>GMIC_22A_SCDPT1!SCDPT1_1109999999_11</vt:lpstr>
      <vt:lpstr>GMIC_22A_SCDPT1!SCDPT1_1109999999_12</vt:lpstr>
      <vt:lpstr>GMIC_22A_SCDPT1!SCDPT1_1109999999_13</vt:lpstr>
      <vt:lpstr>GMIC_22A_SCDPT1!SCDPT1_1109999999_14</vt:lpstr>
      <vt:lpstr>GMIC_22A_SCDPT1!SCDPT1_1109999999_15</vt:lpstr>
      <vt:lpstr>GMIC_22A_SCDPT1!SCDPT1_1109999999_19</vt:lpstr>
      <vt:lpstr>GMIC_22A_SCDPT1!SCDPT1_1109999999_20</vt:lpstr>
      <vt:lpstr>GMIC_22A_SCDPT1!SCDPT1_1109999999_7</vt:lpstr>
      <vt:lpstr>GMIC_22A_SCDPT1!SCDPT1_1109999999_9</vt:lpstr>
      <vt:lpstr>GMIC_22A_SCDPT1!SCDPT1_1210000000_Range</vt:lpstr>
      <vt:lpstr>GMIC_22A_SCDPT1!SCDPT1_1219999999_10</vt:lpstr>
      <vt:lpstr>GMIC_22A_SCDPT1!SCDPT1_1219999999_11</vt:lpstr>
      <vt:lpstr>GMIC_22A_SCDPT1!SCDPT1_1219999999_12</vt:lpstr>
      <vt:lpstr>GMIC_22A_SCDPT1!SCDPT1_1219999999_13</vt:lpstr>
      <vt:lpstr>GMIC_22A_SCDPT1!SCDPT1_1219999999_14</vt:lpstr>
      <vt:lpstr>GMIC_22A_SCDPT1!SCDPT1_1219999999_15</vt:lpstr>
      <vt:lpstr>GMIC_22A_SCDPT1!SCDPT1_1219999999_19</vt:lpstr>
      <vt:lpstr>GMIC_22A_SCDPT1!SCDPT1_1219999999_20</vt:lpstr>
      <vt:lpstr>GMIC_22A_SCDPT1!SCDPT1_1219999999_7</vt:lpstr>
      <vt:lpstr>GMIC_22A_SCDPT1!SCDPT1_1219999999_9</vt:lpstr>
      <vt:lpstr>GMIC_22A_SCDPT1!SCDPT1_121BEGINNG_1</vt:lpstr>
      <vt:lpstr>GMIC_22A_SCDPT1!SCDPT1_121BEGINNG_10</vt:lpstr>
      <vt:lpstr>GMIC_22A_SCDPT1!SCDPT1_121BEGINNG_11</vt:lpstr>
      <vt:lpstr>GMIC_22A_SCDPT1!SCDPT1_121BEGINNG_12</vt:lpstr>
      <vt:lpstr>GMIC_22A_SCDPT1!SCDPT1_121BEGINNG_13</vt:lpstr>
      <vt:lpstr>GMIC_22A_SCDPT1!SCDPT1_121BEGINNG_14</vt:lpstr>
      <vt:lpstr>GMIC_22A_SCDPT1!SCDPT1_121BEGINNG_15</vt:lpstr>
      <vt:lpstr>GMIC_22A_SCDPT1!SCDPT1_121BEGINNG_16</vt:lpstr>
      <vt:lpstr>GMIC_22A_SCDPT1!SCDPT1_121BEGINNG_17</vt:lpstr>
      <vt:lpstr>GMIC_22A_SCDPT1!SCDPT1_121BEGINNG_18</vt:lpstr>
      <vt:lpstr>GMIC_22A_SCDPT1!SCDPT1_121BEGINNG_19</vt:lpstr>
      <vt:lpstr>GMIC_22A_SCDPT1!SCDPT1_121BEGINNG_2</vt:lpstr>
      <vt:lpstr>GMIC_22A_SCDPT1!SCDPT1_121BEGINNG_20</vt:lpstr>
      <vt:lpstr>GMIC_22A_SCDPT1!SCDPT1_121BEGINNG_21</vt:lpstr>
      <vt:lpstr>GMIC_22A_SCDPT1!SCDPT1_121BEGINNG_22</vt:lpstr>
      <vt:lpstr>GMIC_22A_SCDPT1!SCDPT1_121BEGINNG_23</vt:lpstr>
      <vt:lpstr>GMIC_22A_SCDPT1!SCDPT1_121BEGINNG_24</vt:lpstr>
      <vt:lpstr>GMIC_22A_SCDPT1!SCDPT1_121BEGINNG_25</vt:lpstr>
      <vt:lpstr>GMIC_22A_SCDPT1!SCDPT1_121BEGINNG_26</vt:lpstr>
      <vt:lpstr>GMIC_22A_SCDPT1!SCDPT1_121BEGINNG_27</vt:lpstr>
      <vt:lpstr>GMIC_22A_SCDPT1!SCDPT1_121BEGINNG_28</vt:lpstr>
      <vt:lpstr>GMIC_22A_SCDPT1!SCDPT1_121BEGINNG_29</vt:lpstr>
      <vt:lpstr>GMIC_22A_SCDPT1!SCDPT1_121BEGINNG_3</vt:lpstr>
      <vt:lpstr>GMIC_22A_SCDPT1!SCDPT1_121BEGINNG_30</vt:lpstr>
      <vt:lpstr>GMIC_22A_SCDPT1!SCDPT1_121BEGINNG_31</vt:lpstr>
      <vt:lpstr>GMIC_22A_SCDPT1!SCDPT1_121BEGINNG_32</vt:lpstr>
      <vt:lpstr>GMIC_22A_SCDPT1!SCDPT1_121BEGINNG_33</vt:lpstr>
      <vt:lpstr>GMIC_22A_SCDPT1!SCDPT1_121BEGINNG_34</vt:lpstr>
      <vt:lpstr>GMIC_22A_SCDPT1!SCDPT1_121BEGINNG_35</vt:lpstr>
      <vt:lpstr>GMIC_22A_SCDPT1!SCDPT1_121BEGINNG_36</vt:lpstr>
      <vt:lpstr>GMIC_22A_SCDPT1!SCDPT1_121BEGINNG_4</vt:lpstr>
      <vt:lpstr>GMIC_22A_SCDPT1!SCDPT1_121BEGINNG_5</vt:lpstr>
      <vt:lpstr>GMIC_22A_SCDPT1!SCDPT1_121BEGINNG_6.01</vt:lpstr>
      <vt:lpstr>GMIC_22A_SCDPT1!SCDPT1_121BEGINNG_6.02</vt:lpstr>
      <vt:lpstr>GMIC_22A_SCDPT1!SCDPT1_121BEGINNG_6.03</vt:lpstr>
      <vt:lpstr>GMIC_22A_SCDPT1!SCDPT1_121BEGINNG_7</vt:lpstr>
      <vt:lpstr>GMIC_22A_SCDPT1!SCDPT1_121BEGINNG_8</vt:lpstr>
      <vt:lpstr>GMIC_22A_SCDPT1!SCDPT1_121BEGINNG_9</vt:lpstr>
      <vt:lpstr>GMIC_22A_SCDPT1!SCDPT1_121ENDINGG_10</vt:lpstr>
      <vt:lpstr>GMIC_22A_SCDPT1!SCDPT1_121ENDINGG_11</vt:lpstr>
      <vt:lpstr>GMIC_22A_SCDPT1!SCDPT1_121ENDINGG_12</vt:lpstr>
      <vt:lpstr>GMIC_22A_SCDPT1!SCDPT1_121ENDINGG_13</vt:lpstr>
      <vt:lpstr>GMIC_22A_SCDPT1!SCDPT1_121ENDINGG_14</vt:lpstr>
      <vt:lpstr>GMIC_22A_SCDPT1!SCDPT1_121ENDINGG_15</vt:lpstr>
      <vt:lpstr>GMIC_22A_SCDPT1!SCDPT1_121ENDINGG_16</vt:lpstr>
      <vt:lpstr>GMIC_22A_SCDPT1!SCDPT1_121ENDINGG_17</vt:lpstr>
      <vt:lpstr>GMIC_22A_SCDPT1!SCDPT1_121ENDINGG_18</vt:lpstr>
      <vt:lpstr>GMIC_22A_SCDPT1!SCDPT1_121ENDINGG_19</vt:lpstr>
      <vt:lpstr>GMIC_22A_SCDPT1!SCDPT1_121ENDINGG_2</vt:lpstr>
      <vt:lpstr>GMIC_22A_SCDPT1!SCDPT1_121ENDINGG_20</vt:lpstr>
      <vt:lpstr>GMIC_22A_SCDPT1!SCDPT1_121ENDINGG_21</vt:lpstr>
      <vt:lpstr>GMIC_22A_SCDPT1!SCDPT1_121ENDINGG_22</vt:lpstr>
      <vt:lpstr>GMIC_22A_SCDPT1!SCDPT1_121ENDINGG_23</vt:lpstr>
      <vt:lpstr>GMIC_22A_SCDPT1!SCDPT1_121ENDINGG_24</vt:lpstr>
      <vt:lpstr>GMIC_22A_SCDPT1!SCDPT1_121ENDINGG_25</vt:lpstr>
      <vt:lpstr>GMIC_22A_SCDPT1!SCDPT1_121ENDINGG_26</vt:lpstr>
      <vt:lpstr>GMIC_22A_SCDPT1!SCDPT1_121ENDINGG_27</vt:lpstr>
      <vt:lpstr>GMIC_22A_SCDPT1!SCDPT1_121ENDINGG_28</vt:lpstr>
      <vt:lpstr>GMIC_22A_SCDPT1!SCDPT1_121ENDINGG_29</vt:lpstr>
      <vt:lpstr>GMIC_22A_SCDPT1!SCDPT1_121ENDINGG_3</vt:lpstr>
      <vt:lpstr>GMIC_22A_SCDPT1!SCDPT1_121ENDINGG_30</vt:lpstr>
      <vt:lpstr>GMIC_22A_SCDPT1!SCDPT1_121ENDINGG_31</vt:lpstr>
      <vt:lpstr>GMIC_22A_SCDPT1!SCDPT1_121ENDINGG_32</vt:lpstr>
      <vt:lpstr>GMIC_22A_SCDPT1!SCDPT1_121ENDINGG_33</vt:lpstr>
      <vt:lpstr>GMIC_22A_SCDPT1!SCDPT1_121ENDINGG_34</vt:lpstr>
      <vt:lpstr>GMIC_22A_SCDPT1!SCDPT1_121ENDINGG_35</vt:lpstr>
      <vt:lpstr>GMIC_22A_SCDPT1!SCDPT1_121ENDINGG_36</vt:lpstr>
      <vt:lpstr>GMIC_22A_SCDPT1!SCDPT1_121ENDINGG_4</vt:lpstr>
      <vt:lpstr>GMIC_22A_SCDPT1!SCDPT1_121ENDINGG_5</vt:lpstr>
      <vt:lpstr>GMIC_22A_SCDPT1!SCDPT1_121ENDINGG_6.01</vt:lpstr>
      <vt:lpstr>GMIC_22A_SCDPT1!SCDPT1_121ENDINGG_6.02</vt:lpstr>
      <vt:lpstr>GMIC_22A_SCDPT1!SCDPT1_121ENDINGG_6.03</vt:lpstr>
      <vt:lpstr>GMIC_22A_SCDPT1!SCDPT1_121ENDINGG_7</vt:lpstr>
      <vt:lpstr>GMIC_22A_SCDPT1!SCDPT1_121ENDINGG_8</vt:lpstr>
      <vt:lpstr>GMIC_22A_SCDPT1!SCDPT1_121ENDINGG_9</vt:lpstr>
      <vt:lpstr>GMIC_22A_SCDPT1!SCDPT1_1220000000_Range</vt:lpstr>
      <vt:lpstr>GMIC_22A_SCDPT1!SCDPT1_1229999999_10</vt:lpstr>
      <vt:lpstr>GMIC_22A_SCDPT1!SCDPT1_1229999999_11</vt:lpstr>
      <vt:lpstr>GMIC_22A_SCDPT1!SCDPT1_1229999999_12</vt:lpstr>
      <vt:lpstr>GMIC_22A_SCDPT1!SCDPT1_1229999999_13</vt:lpstr>
      <vt:lpstr>GMIC_22A_SCDPT1!SCDPT1_1229999999_14</vt:lpstr>
      <vt:lpstr>GMIC_22A_SCDPT1!SCDPT1_1229999999_15</vt:lpstr>
      <vt:lpstr>GMIC_22A_SCDPT1!SCDPT1_1229999999_19</vt:lpstr>
      <vt:lpstr>GMIC_22A_SCDPT1!SCDPT1_1229999999_20</vt:lpstr>
      <vt:lpstr>GMIC_22A_SCDPT1!SCDPT1_1229999999_7</vt:lpstr>
      <vt:lpstr>GMIC_22A_SCDPT1!SCDPT1_1229999999_9</vt:lpstr>
      <vt:lpstr>GMIC_22A_SCDPT1!SCDPT1_122BEGINNG_1</vt:lpstr>
      <vt:lpstr>GMIC_22A_SCDPT1!SCDPT1_122BEGINNG_10</vt:lpstr>
      <vt:lpstr>GMIC_22A_SCDPT1!SCDPT1_122BEGINNG_11</vt:lpstr>
      <vt:lpstr>GMIC_22A_SCDPT1!SCDPT1_122BEGINNG_12</vt:lpstr>
      <vt:lpstr>GMIC_22A_SCDPT1!SCDPT1_122BEGINNG_13</vt:lpstr>
      <vt:lpstr>GMIC_22A_SCDPT1!SCDPT1_122BEGINNG_14</vt:lpstr>
      <vt:lpstr>GMIC_22A_SCDPT1!SCDPT1_122BEGINNG_15</vt:lpstr>
      <vt:lpstr>GMIC_22A_SCDPT1!SCDPT1_122BEGINNG_16</vt:lpstr>
      <vt:lpstr>GMIC_22A_SCDPT1!SCDPT1_122BEGINNG_17</vt:lpstr>
      <vt:lpstr>GMIC_22A_SCDPT1!SCDPT1_122BEGINNG_18</vt:lpstr>
      <vt:lpstr>GMIC_22A_SCDPT1!SCDPT1_122BEGINNG_19</vt:lpstr>
      <vt:lpstr>GMIC_22A_SCDPT1!SCDPT1_122BEGINNG_2</vt:lpstr>
      <vt:lpstr>GMIC_22A_SCDPT1!SCDPT1_122BEGINNG_20</vt:lpstr>
      <vt:lpstr>GMIC_22A_SCDPT1!SCDPT1_122BEGINNG_21</vt:lpstr>
      <vt:lpstr>GMIC_22A_SCDPT1!SCDPT1_122BEGINNG_22</vt:lpstr>
      <vt:lpstr>GMIC_22A_SCDPT1!SCDPT1_122BEGINNG_23</vt:lpstr>
      <vt:lpstr>GMIC_22A_SCDPT1!SCDPT1_122BEGINNG_24</vt:lpstr>
      <vt:lpstr>GMIC_22A_SCDPT1!SCDPT1_122BEGINNG_25</vt:lpstr>
      <vt:lpstr>GMIC_22A_SCDPT1!SCDPT1_122BEGINNG_26</vt:lpstr>
      <vt:lpstr>GMIC_22A_SCDPT1!SCDPT1_122BEGINNG_27</vt:lpstr>
      <vt:lpstr>GMIC_22A_SCDPT1!SCDPT1_122BEGINNG_28</vt:lpstr>
      <vt:lpstr>GMIC_22A_SCDPT1!SCDPT1_122BEGINNG_29</vt:lpstr>
      <vt:lpstr>GMIC_22A_SCDPT1!SCDPT1_122BEGINNG_3</vt:lpstr>
      <vt:lpstr>GMIC_22A_SCDPT1!SCDPT1_122BEGINNG_30</vt:lpstr>
      <vt:lpstr>GMIC_22A_SCDPT1!SCDPT1_122BEGINNG_31</vt:lpstr>
      <vt:lpstr>GMIC_22A_SCDPT1!SCDPT1_122BEGINNG_32</vt:lpstr>
      <vt:lpstr>GMIC_22A_SCDPT1!SCDPT1_122BEGINNG_33</vt:lpstr>
      <vt:lpstr>GMIC_22A_SCDPT1!SCDPT1_122BEGINNG_34</vt:lpstr>
      <vt:lpstr>GMIC_22A_SCDPT1!SCDPT1_122BEGINNG_35</vt:lpstr>
      <vt:lpstr>GMIC_22A_SCDPT1!SCDPT1_122BEGINNG_36</vt:lpstr>
      <vt:lpstr>GMIC_22A_SCDPT1!SCDPT1_122BEGINNG_4</vt:lpstr>
      <vt:lpstr>GMIC_22A_SCDPT1!SCDPT1_122BEGINNG_5</vt:lpstr>
      <vt:lpstr>GMIC_22A_SCDPT1!SCDPT1_122BEGINNG_6.01</vt:lpstr>
      <vt:lpstr>GMIC_22A_SCDPT1!SCDPT1_122BEGINNG_6.02</vt:lpstr>
      <vt:lpstr>GMIC_22A_SCDPT1!SCDPT1_122BEGINNG_6.03</vt:lpstr>
      <vt:lpstr>GMIC_22A_SCDPT1!SCDPT1_122BEGINNG_7</vt:lpstr>
      <vt:lpstr>GMIC_22A_SCDPT1!SCDPT1_122BEGINNG_8</vt:lpstr>
      <vt:lpstr>GMIC_22A_SCDPT1!SCDPT1_122BEGINNG_9</vt:lpstr>
      <vt:lpstr>GMIC_22A_SCDPT1!SCDPT1_122ENDINGG_10</vt:lpstr>
      <vt:lpstr>GMIC_22A_SCDPT1!SCDPT1_122ENDINGG_11</vt:lpstr>
      <vt:lpstr>GMIC_22A_SCDPT1!SCDPT1_122ENDINGG_12</vt:lpstr>
      <vt:lpstr>GMIC_22A_SCDPT1!SCDPT1_122ENDINGG_13</vt:lpstr>
      <vt:lpstr>GMIC_22A_SCDPT1!SCDPT1_122ENDINGG_14</vt:lpstr>
      <vt:lpstr>GMIC_22A_SCDPT1!SCDPT1_122ENDINGG_15</vt:lpstr>
      <vt:lpstr>GMIC_22A_SCDPT1!SCDPT1_122ENDINGG_16</vt:lpstr>
      <vt:lpstr>GMIC_22A_SCDPT1!SCDPT1_122ENDINGG_17</vt:lpstr>
      <vt:lpstr>GMIC_22A_SCDPT1!SCDPT1_122ENDINGG_18</vt:lpstr>
      <vt:lpstr>GMIC_22A_SCDPT1!SCDPT1_122ENDINGG_19</vt:lpstr>
      <vt:lpstr>GMIC_22A_SCDPT1!SCDPT1_122ENDINGG_2</vt:lpstr>
      <vt:lpstr>GMIC_22A_SCDPT1!SCDPT1_122ENDINGG_20</vt:lpstr>
      <vt:lpstr>GMIC_22A_SCDPT1!SCDPT1_122ENDINGG_21</vt:lpstr>
      <vt:lpstr>GMIC_22A_SCDPT1!SCDPT1_122ENDINGG_22</vt:lpstr>
      <vt:lpstr>GMIC_22A_SCDPT1!SCDPT1_122ENDINGG_23</vt:lpstr>
      <vt:lpstr>GMIC_22A_SCDPT1!SCDPT1_122ENDINGG_24</vt:lpstr>
      <vt:lpstr>GMIC_22A_SCDPT1!SCDPT1_122ENDINGG_25</vt:lpstr>
      <vt:lpstr>GMIC_22A_SCDPT1!SCDPT1_122ENDINGG_26</vt:lpstr>
      <vt:lpstr>GMIC_22A_SCDPT1!SCDPT1_122ENDINGG_27</vt:lpstr>
      <vt:lpstr>GMIC_22A_SCDPT1!SCDPT1_122ENDINGG_28</vt:lpstr>
      <vt:lpstr>GMIC_22A_SCDPT1!SCDPT1_122ENDINGG_29</vt:lpstr>
      <vt:lpstr>GMIC_22A_SCDPT1!SCDPT1_122ENDINGG_3</vt:lpstr>
      <vt:lpstr>GMIC_22A_SCDPT1!SCDPT1_122ENDINGG_30</vt:lpstr>
      <vt:lpstr>GMIC_22A_SCDPT1!SCDPT1_122ENDINGG_31</vt:lpstr>
      <vt:lpstr>GMIC_22A_SCDPT1!SCDPT1_122ENDINGG_32</vt:lpstr>
      <vt:lpstr>GMIC_22A_SCDPT1!SCDPT1_122ENDINGG_33</vt:lpstr>
      <vt:lpstr>GMIC_22A_SCDPT1!SCDPT1_122ENDINGG_34</vt:lpstr>
      <vt:lpstr>GMIC_22A_SCDPT1!SCDPT1_122ENDINGG_35</vt:lpstr>
      <vt:lpstr>GMIC_22A_SCDPT1!SCDPT1_122ENDINGG_36</vt:lpstr>
      <vt:lpstr>GMIC_22A_SCDPT1!SCDPT1_122ENDINGG_4</vt:lpstr>
      <vt:lpstr>GMIC_22A_SCDPT1!SCDPT1_122ENDINGG_5</vt:lpstr>
      <vt:lpstr>GMIC_22A_SCDPT1!SCDPT1_122ENDINGG_6.01</vt:lpstr>
      <vt:lpstr>GMIC_22A_SCDPT1!SCDPT1_122ENDINGG_6.02</vt:lpstr>
      <vt:lpstr>GMIC_22A_SCDPT1!SCDPT1_122ENDINGG_6.03</vt:lpstr>
      <vt:lpstr>GMIC_22A_SCDPT1!SCDPT1_122ENDINGG_7</vt:lpstr>
      <vt:lpstr>GMIC_22A_SCDPT1!SCDPT1_122ENDINGG_8</vt:lpstr>
      <vt:lpstr>GMIC_22A_SCDPT1!SCDPT1_122ENDINGG_9</vt:lpstr>
      <vt:lpstr>GMIC_22A_SCDPT1!SCDPT1_1230000000_Range</vt:lpstr>
      <vt:lpstr>GMIC_22A_SCDPT1!SCDPT1_1239999999_10</vt:lpstr>
      <vt:lpstr>GMIC_22A_SCDPT1!SCDPT1_1239999999_11</vt:lpstr>
      <vt:lpstr>GMIC_22A_SCDPT1!SCDPT1_1239999999_12</vt:lpstr>
      <vt:lpstr>GMIC_22A_SCDPT1!SCDPT1_1239999999_13</vt:lpstr>
      <vt:lpstr>GMIC_22A_SCDPT1!SCDPT1_1239999999_14</vt:lpstr>
      <vt:lpstr>GMIC_22A_SCDPT1!SCDPT1_1239999999_15</vt:lpstr>
      <vt:lpstr>GMIC_22A_SCDPT1!SCDPT1_1239999999_19</vt:lpstr>
      <vt:lpstr>GMIC_22A_SCDPT1!SCDPT1_1239999999_20</vt:lpstr>
      <vt:lpstr>GMIC_22A_SCDPT1!SCDPT1_1239999999_7</vt:lpstr>
      <vt:lpstr>GMIC_22A_SCDPT1!SCDPT1_1239999999_9</vt:lpstr>
      <vt:lpstr>GMIC_22A_SCDPT1!SCDPT1_123BEGINNG_1</vt:lpstr>
      <vt:lpstr>GMIC_22A_SCDPT1!SCDPT1_123BEGINNG_10</vt:lpstr>
      <vt:lpstr>GMIC_22A_SCDPT1!SCDPT1_123BEGINNG_11</vt:lpstr>
      <vt:lpstr>GMIC_22A_SCDPT1!SCDPT1_123BEGINNG_12</vt:lpstr>
      <vt:lpstr>GMIC_22A_SCDPT1!SCDPT1_123BEGINNG_13</vt:lpstr>
      <vt:lpstr>GMIC_22A_SCDPT1!SCDPT1_123BEGINNG_14</vt:lpstr>
      <vt:lpstr>GMIC_22A_SCDPT1!SCDPT1_123BEGINNG_15</vt:lpstr>
      <vt:lpstr>GMIC_22A_SCDPT1!SCDPT1_123BEGINNG_16</vt:lpstr>
      <vt:lpstr>GMIC_22A_SCDPT1!SCDPT1_123BEGINNG_17</vt:lpstr>
      <vt:lpstr>GMIC_22A_SCDPT1!SCDPT1_123BEGINNG_18</vt:lpstr>
      <vt:lpstr>GMIC_22A_SCDPT1!SCDPT1_123BEGINNG_19</vt:lpstr>
      <vt:lpstr>GMIC_22A_SCDPT1!SCDPT1_123BEGINNG_2</vt:lpstr>
      <vt:lpstr>GMIC_22A_SCDPT1!SCDPT1_123BEGINNG_20</vt:lpstr>
      <vt:lpstr>GMIC_22A_SCDPT1!SCDPT1_123BEGINNG_21</vt:lpstr>
      <vt:lpstr>GMIC_22A_SCDPT1!SCDPT1_123BEGINNG_22</vt:lpstr>
      <vt:lpstr>GMIC_22A_SCDPT1!SCDPT1_123BEGINNG_23</vt:lpstr>
      <vt:lpstr>GMIC_22A_SCDPT1!SCDPT1_123BEGINNG_24</vt:lpstr>
      <vt:lpstr>GMIC_22A_SCDPT1!SCDPT1_123BEGINNG_25</vt:lpstr>
      <vt:lpstr>GMIC_22A_SCDPT1!SCDPT1_123BEGINNG_26</vt:lpstr>
      <vt:lpstr>GMIC_22A_SCDPT1!SCDPT1_123BEGINNG_27</vt:lpstr>
      <vt:lpstr>GMIC_22A_SCDPT1!SCDPT1_123BEGINNG_28</vt:lpstr>
      <vt:lpstr>GMIC_22A_SCDPT1!SCDPT1_123BEGINNG_29</vt:lpstr>
      <vt:lpstr>GMIC_22A_SCDPT1!SCDPT1_123BEGINNG_3</vt:lpstr>
      <vt:lpstr>GMIC_22A_SCDPT1!SCDPT1_123BEGINNG_30</vt:lpstr>
      <vt:lpstr>GMIC_22A_SCDPT1!SCDPT1_123BEGINNG_31</vt:lpstr>
      <vt:lpstr>GMIC_22A_SCDPT1!SCDPT1_123BEGINNG_32</vt:lpstr>
      <vt:lpstr>GMIC_22A_SCDPT1!SCDPT1_123BEGINNG_33</vt:lpstr>
      <vt:lpstr>GMIC_22A_SCDPT1!SCDPT1_123BEGINNG_34</vt:lpstr>
      <vt:lpstr>GMIC_22A_SCDPT1!SCDPT1_123BEGINNG_35</vt:lpstr>
      <vt:lpstr>GMIC_22A_SCDPT1!SCDPT1_123BEGINNG_36</vt:lpstr>
      <vt:lpstr>GMIC_22A_SCDPT1!SCDPT1_123BEGINNG_4</vt:lpstr>
      <vt:lpstr>GMIC_22A_SCDPT1!SCDPT1_123BEGINNG_5</vt:lpstr>
      <vt:lpstr>GMIC_22A_SCDPT1!SCDPT1_123BEGINNG_6.01</vt:lpstr>
      <vt:lpstr>GMIC_22A_SCDPT1!SCDPT1_123BEGINNG_6.02</vt:lpstr>
      <vt:lpstr>GMIC_22A_SCDPT1!SCDPT1_123BEGINNG_6.03</vt:lpstr>
      <vt:lpstr>GMIC_22A_SCDPT1!SCDPT1_123BEGINNG_7</vt:lpstr>
      <vt:lpstr>GMIC_22A_SCDPT1!SCDPT1_123BEGINNG_8</vt:lpstr>
      <vt:lpstr>GMIC_22A_SCDPT1!SCDPT1_123BEGINNG_9</vt:lpstr>
      <vt:lpstr>GMIC_22A_SCDPT1!SCDPT1_123ENDINGG_10</vt:lpstr>
      <vt:lpstr>GMIC_22A_SCDPT1!SCDPT1_123ENDINGG_11</vt:lpstr>
      <vt:lpstr>GMIC_22A_SCDPT1!SCDPT1_123ENDINGG_12</vt:lpstr>
      <vt:lpstr>GMIC_22A_SCDPT1!SCDPT1_123ENDINGG_13</vt:lpstr>
      <vt:lpstr>GMIC_22A_SCDPT1!SCDPT1_123ENDINGG_14</vt:lpstr>
      <vt:lpstr>GMIC_22A_SCDPT1!SCDPT1_123ENDINGG_15</vt:lpstr>
      <vt:lpstr>GMIC_22A_SCDPT1!SCDPT1_123ENDINGG_16</vt:lpstr>
      <vt:lpstr>GMIC_22A_SCDPT1!SCDPT1_123ENDINGG_17</vt:lpstr>
      <vt:lpstr>GMIC_22A_SCDPT1!SCDPT1_123ENDINGG_18</vt:lpstr>
      <vt:lpstr>GMIC_22A_SCDPT1!SCDPT1_123ENDINGG_19</vt:lpstr>
      <vt:lpstr>GMIC_22A_SCDPT1!SCDPT1_123ENDINGG_2</vt:lpstr>
      <vt:lpstr>GMIC_22A_SCDPT1!SCDPT1_123ENDINGG_20</vt:lpstr>
      <vt:lpstr>GMIC_22A_SCDPT1!SCDPT1_123ENDINGG_21</vt:lpstr>
      <vt:lpstr>GMIC_22A_SCDPT1!SCDPT1_123ENDINGG_22</vt:lpstr>
      <vt:lpstr>GMIC_22A_SCDPT1!SCDPT1_123ENDINGG_23</vt:lpstr>
      <vt:lpstr>GMIC_22A_SCDPT1!SCDPT1_123ENDINGG_24</vt:lpstr>
      <vt:lpstr>GMIC_22A_SCDPT1!SCDPT1_123ENDINGG_25</vt:lpstr>
      <vt:lpstr>GMIC_22A_SCDPT1!SCDPT1_123ENDINGG_26</vt:lpstr>
      <vt:lpstr>GMIC_22A_SCDPT1!SCDPT1_123ENDINGG_27</vt:lpstr>
      <vt:lpstr>GMIC_22A_SCDPT1!SCDPT1_123ENDINGG_28</vt:lpstr>
      <vt:lpstr>GMIC_22A_SCDPT1!SCDPT1_123ENDINGG_29</vt:lpstr>
      <vt:lpstr>GMIC_22A_SCDPT1!SCDPT1_123ENDINGG_3</vt:lpstr>
      <vt:lpstr>GMIC_22A_SCDPT1!SCDPT1_123ENDINGG_30</vt:lpstr>
      <vt:lpstr>GMIC_22A_SCDPT1!SCDPT1_123ENDINGG_31</vt:lpstr>
      <vt:lpstr>GMIC_22A_SCDPT1!SCDPT1_123ENDINGG_32</vt:lpstr>
      <vt:lpstr>GMIC_22A_SCDPT1!SCDPT1_123ENDINGG_33</vt:lpstr>
      <vt:lpstr>GMIC_22A_SCDPT1!SCDPT1_123ENDINGG_34</vt:lpstr>
      <vt:lpstr>GMIC_22A_SCDPT1!SCDPT1_123ENDINGG_35</vt:lpstr>
      <vt:lpstr>GMIC_22A_SCDPT1!SCDPT1_123ENDINGG_36</vt:lpstr>
      <vt:lpstr>GMIC_22A_SCDPT1!SCDPT1_123ENDINGG_4</vt:lpstr>
      <vt:lpstr>GMIC_22A_SCDPT1!SCDPT1_123ENDINGG_5</vt:lpstr>
      <vt:lpstr>GMIC_22A_SCDPT1!SCDPT1_123ENDINGG_6.01</vt:lpstr>
      <vt:lpstr>GMIC_22A_SCDPT1!SCDPT1_123ENDINGG_6.02</vt:lpstr>
      <vt:lpstr>GMIC_22A_SCDPT1!SCDPT1_123ENDINGG_6.03</vt:lpstr>
      <vt:lpstr>GMIC_22A_SCDPT1!SCDPT1_123ENDINGG_7</vt:lpstr>
      <vt:lpstr>GMIC_22A_SCDPT1!SCDPT1_123ENDINGG_8</vt:lpstr>
      <vt:lpstr>GMIC_22A_SCDPT1!SCDPT1_123ENDINGG_9</vt:lpstr>
      <vt:lpstr>GMIC_22A_SCDPT1!SCDPT1_1240000000_Range</vt:lpstr>
      <vt:lpstr>GMIC_22A_SCDPT1!SCDPT1_1249999999_10</vt:lpstr>
      <vt:lpstr>GMIC_22A_SCDPT1!SCDPT1_1249999999_11</vt:lpstr>
      <vt:lpstr>GMIC_22A_SCDPT1!SCDPT1_1249999999_12</vt:lpstr>
      <vt:lpstr>GMIC_22A_SCDPT1!SCDPT1_1249999999_13</vt:lpstr>
      <vt:lpstr>GMIC_22A_SCDPT1!SCDPT1_1249999999_14</vt:lpstr>
      <vt:lpstr>GMIC_22A_SCDPT1!SCDPT1_1249999999_15</vt:lpstr>
      <vt:lpstr>GMIC_22A_SCDPT1!SCDPT1_1249999999_19</vt:lpstr>
      <vt:lpstr>GMIC_22A_SCDPT1!SCDPT1_1249999999_20</vt:lpstr>
      <vt:lpstr>GMIC_22A_SCDPT1!SCDPT1_1249999999_7</vt:lpstr>
      <vt:lpstr>GMIC_22A_SCDPT1!SCDPT1_1249999999_9</vt:lpstr>
      <vt:lpstr>GMIC_22A_SCDPT1!SCDPT1_124BEGINNG_1</vt:lpstr>
      <vt:lpstr>GMIC_22A_SCDPT1!SCDPT1_124BEGINNG_10</vt:lpstr>
      <vt:lpstr>GMIC_22A_SCDPT1!SCDPT1_124BEGINNG_11</vt:lpstr>
      <vt:lpstr>GMIC_22A_SCDPT1!SCDPT1_124BEGINNG_12</vt:lpstr>
      <vt:lpstr>GMIC_22A_SCDPT1!SCDPT1_124BEGINNG_13</vt:lpstr>
      <vt:lpstr>GMIC_22A_SCDPT1!SCDPT1_124BEGINNG_14</vt:lpstr>
      <vt:lpstr>GMIC_22A_SCDPT1!SCDPT1_124BEGINNG_15</vt:lpstr>
      <vt:lpstr>GMIC_22A_SCDPT1!SCDPT1_124BEGINNG_16</vt:lpstr>
      <vt:lpstr>GMIC_22A_SCDPT1!SCDPT1_124BEGINNG_17</vt:lpstr>
      <vt:lpstr>GMIC_22A_SCDPT1!SCDPT1_124BEGINNG_18</vt:lpstr>
      <vt:lpstr>GMIC_22A_SCDPT1!SCDPT1_124BEGINNG_19</vt:lpstr>
      <vt:lpstr>GMIC_22A_SCDPT1!SCDPT1_124BEGINNG_2</vt:lpstr>
      <vt:lpstr>GMIC_22A_SCDPT1!SCDPT1_124BEGINNG_20</vt:lpstr>
      <vt:lpstr>GMIC_22A_SCDPT1!SCDPT1_124BEGINNG_21</vt:lpstr>
      <vt:lpstr>GMIC_22A_SCDPT1!SCDPT1_124BEGINNG_22</vt:lpstr>
      <vt:lpstr>GMIC_22A_SCDPT1!SCDPT1_124BEGINNG_23</vt:lpstr>
      <vt:lpstr>GMIC_22A_SCDPT1!SCDPT1_124BEGINNG_24</vt:lpstr>
      <vt:lpstr>GMIC_22A_SCDPT1!SCDPT1_124BEGINNG_25</vt:lpstr>
      <vt:lpstr>GMIC_22A_SCDPT1!SCDPT1_124BEGINNG_26</vt:lpstr>
      <vt:lpstr>GMIC_22A_SCDPT1!SCDPT1_124BEGINNG_27</vt:lpstr>
      <vt:lpstr>GMIC_22A_SCDPT1!SCDPT1_124BEGINNG_28</vt:lpstr>
      <vt:lpstr>GMIC_22A_SCDPT1!SCDPT1_124BEGINNG_29</vt:lpstr>
      <vt:lpstr>GMIC_22A_SCDPT1!SCDPT1_124BEGINNG_3</vt:lpstr>
      <vt:lpstr>GMIC_22A_SCDPT1!SCDPT1_124BEGINNG_30</vt:lpstr>
      <vt:lpstr>GMIC_22A_SCDPT1!SCDPT1_124BEGINNG_31</vt:lpstr>
      <vt:lpstr>GMIC_22A_SCDPT1!SCDPT1_124BEGINNG_32</vt:lpstr>
      <vt:lpstr>GMIC_22A_SCDPT1!SCDPT1_124BEGINNG_33</vt:lpstr>
      <vt:lpstr>GMIC_22A_SCDPT1!SCDPT1_124BEGINNG_34</vt:lpstr>
      <vt:lpstr>GMIC_22A_SCDPT1!SCDPT1_124BEGINNG_35</vt:lpstr>
      <vt:lpstr>GMIC_22A_SCDPT1!SCDPT1_124BEGINNG_36</vt:lpstr>
      <vt:lpstr>GMIC_22A_SCDPT1!SCDPT1_124BEGINNG_4</vt:lpstr>
      <vt:lpstr>GMIC_22A_SCDPT1!SCDPT1_124BEGINNG_5</vt:lpstr>
      <vt:lpstr>GMIC_22A_SCDPT1!SCDPT1_124BEGINNG_6.01</vt:lpstr>
      <vt:lpstr>GMIC_22A_SCDPT1!SCDPT1_124BEGINNG_6.02</vt:lpstr>
      <vt:lpstr>GMIC_22A_SCDPT1!SCDPT1_124BEGINNG_6.03</vt:lpstr>
      <vt:lpstr>GMIC_22A_SCDPT1!SCDPT1_124BEGINNG_7</vt:lpstr>
      <vt:lpstr>GMIC_22A_SCDPT1!SCDPT1_124BEGINNG_8</vt:lpstr>
      <vt:lpstr>GMIC_22A_SCDPT1!SCDPT1_124BEGINNG_9</vt:lpstr>
      <vt:lpstr>GMIC_22A_SCDPT1!SCDPT1_124ENDINGG_10</vt:lpstr>
      <vt:lpstr>GMIC_22A_SCDPT1!SCDPT1_124ENDINGG_11</vt:lpstr>
      <vt:lpstr>GMIC_22A_SCDPT1!SCDPT1_124ENDINGG_12</vt:lpstr>
      <vt:lpstr>GMIC_22A_SCDPT1!SCDPT1_124ENDINGG_13</vt:lpstr>
      <vt:lpstr>GMIC_22A_SCDPT1!SCDPT1_124ENDINGG_14</vt:lpstr>
      <vt:lpstr>GMIC_22A_SCDPT1!SCDPT1_124ENDINGG_15</vt:lpstr>
      <vt:lpstr>GMIC_22A_SCDPT1!SCDPT1_124ENDINGG_16</vt:lpstr>
      <vt:lpstr>GMIC_22A_SCDPT1!SCDPT1_124ENDINGG_17</vt:lpstr>
      <vt:lpstr>GMIC_22A_SCDPT1!SCDPT1_124ENDINGG_18</vt:lpstr>
      <vt:lpstr>GMIC_22A_SCDPT1!SCDPT1_124ENDINGG_19</vt:lpstr>
      <vt:lpstr>GMIC_22A_SCDPT1!SCDPT1_124ENDINGG_2</vt:lpstr>
      <vt:lpstr>GMIC_22A_SCDPT1!SCDPT1_124ENDINGG_20</vt:lpstr>
      <vt:lpstr>GMIC_22A_SCDPT1!SCDPT1_124ENDINGG_21</vt:lpstr>
      <vt:lpstr>GMIC_22A_SCDPT1!SCDPT1_124ENDINGG_22</vt:lpstr>
      <vt:lpstr>GMIC_22A_SCDPT1!SCDPT1_124ENDINGG_23</vt:lpstr>
      <vt:lpstr>GMIC_22A_SCDPT1!SCDPT1_124ENDINGG_24</vt:lpstr>
      <vt:lpstr>GMIC_22A_SCDPT1!SCDPT1_124ENDINGG_25</vt:lpstr>
      <vt:lpstr>GMIC_22A_SCDPT1!SCDPT1_124ENDINGG_26</vt:lpstr>
      <vt:lpstr>GMIC_22A_SCDPT1!SCDPT1_124ENDINGG_27</vt:lpstr>
      <vt:lpstr>GMIC_22A_SCDPT1!SCDPT1_124ENDINGG_28</vt:lpstr>
      <vt:lpstr>GMIC_22A_SCDPT1!SCDPT1_124ENDINGG_29</vt:lpstr>
      <vt:lpstr>GMIC_22A_SCDPT1!SCDPT1_124ENDINGG_3</vt:lpstr>
      <vt:lpstr>GMIC_22A_SCDPT1!SCDPT1_124ENDINGG_30</vt:lpstr>
      <vt:lpstr>GMIC_22A_SCDPT1!SCDPT1_124ENDINGG_31</vt:lpstr>
      <vt:lpstr>GMIC_22A_SCDPT1!SCDPT1_124ENDINGG_32</vt:lpstr>
      <vt:lpstr>GMIC_22A_SCDPT1!SCDPT1_124ENDINGG_33</vt:lpstr>
      <vt:lpstr>GMIC_22A_SCDPT1!SCDPT1_124ENDINGG_34</vt:lpstr>
      <vt:lpstr>GMIC_22A_SCDPT1!SCDPT1_124ENDINGG_35</vt:lpstr>
      <vt:lpstr>GMIC_22A_SCDPT1!SCDPT1_124ENDINGG_36</vt:lpstr>
      <vt:lpstr>GMIC_22A_SCDPT1!SCDPT1_124ENDINGG_4</vt:lpstr>
      <vt:lpstr>GMIC_22A_SCDPT1!SCDPT1_124ENDINGG_5</vt:lpstr>
      <vt:lpstr>GMIC_22A_SCDPT1!SCDPT1_124ENDINGG_6.01</vt:lpstr>
      <vt:lpstr>GMIC_22A_SCDPT1!SCDPT1_124ENDINGG_6.02</vt:lpstr>
      <vt:lpstr>GMIC_22A_SCDPT1!SCDPT1_124ENDINGG_6.03</vt:lpstr>
      <vt:lpstr>GMIC_22A_SCDPT1!SCDPT1_124ENDINGG_7</vt:lpstr>
      <vt:lpstr>GMIC_22A_SCDPT1!SCDPT1_124ENDINGG_8</vt:lpstr>
      <vt:lpstr>GMIC_22A_SCDPT1!SCDPT1_124ENDINGG_9</vt:lpstr>
      <vt:lpstr>GMIC_22A_SCDPT1!SCDPT1_1309999999_10</vt:lpstr>
      <vt:lpstr>GMIC_22A_SCDPT1!SCDPT1_1309999999_11</vt:lpstr>
      <vt:lpstr>GMIC_22A_SCDPT1!SCDPT1_1309999999_12</vt:lpstr>
      <vt:lpstr>GMIC_22A_SCDPT1!SCDPT1_1309999999_13</vt:lpstr>
      <vt:lpstr>GMIC_22A_SCDPT1!SCDPT1_1309999999_14</vt:lpstr>
      <vt:lpstr>GMIC_22A_SCDPT1!SCDPT1_1309999999_15</vt:lpstr>
      <vt:lpstr>GMIC_22A_SCDPT1!SCDPT1_1309999999_19</vt:lpstr>
      <vt:lpstr>GMIC_22A_SCDPT1!SCDPT1_1309999999_20</vt:lpstr>
      <vt:lpstr>GMIC_22A_SCDPT1!SCDPT1_1309999999_7</vt:lpstr>
      <vt:lpstr>GMIC_22A_SCDPT1!SCDPT1_1309999999_9</vt:lpstr>
      <vt:lpstr>GMIC_22A_SCDPT1!SCDPT1_1410000000_Range</vt:lpstr>
      <vt:lpstr>GMIC_22A_SCDPT1!SCDPT1_1419999999_10</vt:lpstr>
      <vt:lpstr>GMIC_22A_SCDPT1!SCDPT1_1419999999_11</vt:lpstr>
      <vt:lpstr>GMIC_22A_SCDPT1!SCDPT1_1419999999_12</vt:lpstr>
      <vt:lpstr>GMIC_22A_SCDPT1!SCDPT1_1419999999_13</vt:lpstr>
      <vt:lpstr>GMIC_22A_SCDPT1!SCDPT1_1419999999_14</vt:lpstr>
      <vt:lpstr>GMIC_22A_SCDPT1!SCDPT1_1419999999_15</vt:lpstr>
      <vt:lpstr>GMIC_22A_SCDPT1!SCDPT1_1419999999_19</vt:lpstr>
      <vt:lpstr>GMIC_22A_SCDPT1!SCDPT1_1419999999_20</vt:lpstr>
      <vt:lpstr>GMIC_22A_SCDPT1!SCDPT1_1419999999_7</vt:lpstr>
      <vt:lpstr>GMIC_22A_SCDPT1!SCDPT1_1419999999_9</vt:lpstr>
      <vt:lpstr>GMIC_22A_SCDPT1!SCDPT1_141BEGINNG_1</vt:lpstr>
      <vt:lpstr>GMIC_22A_SCDPT1!SCDPT1_141BEGINNG_10</vt:lpstr>
      <vt:lpstr>GMIC_22A_SCDPT1!SCDPT1_141BEGINNG_11</vt:lpstr>
      <vt:lpstr>GMIC_22A_SCDPT1!SCDPT1_141BEGINNG_12</vt:lpstr>
      <vt:lpstr>GMIC_22A_SCDPT1!SCDPT1_141BEGINNG_13</vt:lpstr>
      <vt:lpstr>GMIC_22A_SCDPT1!SCDPT1_141BEGINNG_14</vt:lpstr>
      <vt:lpstr>GMIC_22A_SCDPT1!SCDPT1_141BEGINNG_15</vt:lpstr>
      <vt:lpstr>GMIC_22A_SCDPT1!SCDPT1_141BEGINNG_16</vt:lpstr>
      <vt:lpstr>GMIC_22A_SCDPT1!SCDPT1_141BEGINNG_17</vt:lpstr>
      <vt:lpstr>GMIC_22A_SCDPT1!SCDPT1_141BEGINNG_18</vt:lpstr>
      <vt:lpstr>GMIC_22A_SCDPT1!SCDPT1_141BEGINNG_19</vt:lpstr>
      <vt:lpstr>GMIC_22A_SCDPT1!SCDPT1_141BEGINNG_2</vt:lpstr>
      <vt:lpstr>GMIC_22A_SCDPT1!SCDPT1_141BEGINNG_20</vt:lpstr>
      <vt:lpstr>GMIC_22A_SCDPT1!SCDPT1_141BEGINNG_21</vt:lpstr>
      <vt:lpstr>GMIC_22A_SCDPT1!SCDPT1_141BEGINNG_22</vt:lpstr>
      <vt:lpstr>GMIC_22A_SCDPT1!SCDPT1_141BEGINNG_23</vt:lpstr>
      <vt:lpstr>GMIC_22A_SCDPT1!SCDPT1_141BEGINNG_24</vt:lpstr>
      <vt:lpstr>GMIC_22A_SCDPT1!SCDPT1_141BEGINNG_25</vt:lpstr>
      <vt:lpstr>GMIC_22A_SCDPT1!SCDPT1_141BEGINNG_26</vt:lpstr>
      <vt:lpstr>GMIC_22A_SCDPT1!SCDPT1_141BEGINNG_27</vt:lpstr>
      <vt:lpstr>GMIC_22A_SCDPT1!SCDPT1_141BEGINNG_28</vt:lpstr>
      <vt:lpstr>GMIC_22A_SCDPT1!SCDPT1_141BEGINNG_29</vt:lpstr>
      <vt:lpstr>GMIC_22A_SCDPT1!SCDPT1_141BEGINNG_3</vt:lpstr>
      <vt:lpstr>GMIC_22A_SCDPT1!SCDPT1_141BEGINNG_30</vt:lpstr>
      <vt:lpstr>GMIC_22A_SCDPT1!SCDPT1_141BEGINNG_31</vt:lpstr>
      <vt:lpstr>GMIC_22A_SCDPT1!SCDPT1_141BEGINNG_32</vt:lpstr>
      <vt:lpstr>GMIC_22A_SCDPT1!SCDPT1_141BEGINNG_33</vt:lpstr>
      <vt:lpstr>GMIC_22A_SCDPT1!SCDPT1_141BEGINNG_34</vt:lpstr>
      <vt:lpstr>GMIC_22A_SCDPT1!SCDPT1_141BEGINNG_35</vt:lpstr>
      <vt:lpstr>GMIC_22A_SCDPT1!SCDPT1_141BEGINNG_36</vt:lpstr>
      <vt:lpstr>GMIC_22A_SCDPT1!SCDPT1_141BEGINNG_4</vt:lpstr>
      <vt:lpstr>GMIC_22A_SCDPT1!SCDPT1_141BEGINNG_5</vt:lpstr>
      <vt:lpstr>GMIC_22A_SCDPT1!SCDPT1_141BEGINNG_6.01</vt:lpstr>
      <vt:lpstr>GMIC_22A_SCDPT1!SCDPT1_141BEGINNG_6.02</vt:lpstr>
      <vt:lpstr>GMIC_22A_SCDPT1!SCDPT1_141BEGINNG_6.03</vt:lpstr>
      <vt:lpstr>GMIC_22A_SCDPT1!SCDPT1_141BEGINNG_7</vt:lpstr>
      <vt:lpstr>GMIC_22A_SCDPT1!SCDPT1_141BEGINNG_8</vt:lpstr>
      <vt:lpstr>GMIC_22A_SCDPT1!SCDPT1_141BEGINNG_9</vt:lpstr>
      <vt:lpstr>GMIC_22A_SCDPT1!SCDPT1_141ENDINGG_10</vt:lpstr>
      <vt:lpstr>GMIC_22A_SCDPT1!SCDPT1_141ENDINGG_11</vt:lpstr>
      <vt:lpstr>GMIC_22A_SCDPT1!SCDPT1_141ENDINGG_12</vt:lpstr>
      <vt:lpstr>GMIC_22A_SCDPT1!SCDPT1_141ENDINGG_13</vt:lpstr>
      <vt:lpstr>GMIC_22A_SCDPT1!SCDPT1_141ENDINGG_14</vt:lpstr>
      <vt:lpstr>GMIC_22A_SCDPT1!SCDPT1_141ENDINGG_15</vt:lpstr>
      <vt:lpstr>GMIC_22A_SCDPT1!SCDPT1_141ENDINGG_16</vt:lpstr>
      <vt:lpstr>GMIC_22A_SCDPT1!SCDPT1_141ENDINGG_17</vt:lpstr>
      <vt:lpstr>GMIC_22A_SCDPT1!SCDPT1_141ENDINGG_18</vt:lpstr>
      <vt:lpstr>GMIC_22A_SCDPT1!SCDPT1_141ENDINGG_19</vt:lpstr>
      <vt:lpstr>GMIC_22A_SCDPT1!SCDPT1_141ENDINGG_2</vt:lpstr>
      <vt:lpstr>GMIC_22A_SCDPT1!SCDPT1_141ENDINGG_20</vt:lpstr>
      <vt:lpstr>GMIC_22A_SCDPT1!SCDPT1_141ENDINGG_21</vt:lpstr>
      <vt:lpstr>GMIC_22A_SCDPT1!SCDPT1_141ENDINGG_22</vt:lpstr>
      <vt:lpstr>GMIC_22A_SCDPT1!SCDPT1_141ENDINGG_23</vt:lpstr>
      <vt:lpstr>GMIC_22A_SCDPT1!SCDPT1_141ENDINGG_24</vt:lpstr>
      <vt:lpstr>GMIC_22A_SCDPT1!SCDPT1_141ENDINGG_25</vt:lpstr>
      <vt:lpstr>GMIC_22A_SCDPT1!SCDPT1_141ENDINGG_26</vt:lpstr>
      <vt:lpstr>GMIC_22A_SCDPT1!SCDPT1_141ENDINGG_27</vt:lpstr>
      <vt:lpstr>GMIC_22A_SCDPT1!SCDPT1_141ENDINGG_28</vt:lpstr>
      <vt:lpstr>GMIC_22A_SCDPT1!SCDPT1_141ENDINGG_29</vt:lpstr>
      <vt:lpstr>GMIC_22A_SCDPT1!SCDPT1_141ENDINGG_3</vt:lpstr>
      <vt:lpstr>GMIC_22A_SCDPT1!SCDPT1_141ENDINGG_30</vt:lpstr>
      <vt:lpstr>GMIC_22A_SCDPT1!SCDPT1_141ENDINGG_31</vt:lpstr>
      <vt:lpstr>GMIC_22A_SCDPT1!SCDPT1_141ENDINGG_32</vt:lpstr>
      <vt:lpstr>GMIC_22A_SCDPT1!SCDPT1_141ENDINGG_33</vt:lpstr>
      <vt:lpstr>GMIC_22A_SCDPT1!SCDPT1_141ENDINGG_34</vt:lpstr>
      <vt:lpstr>GMIC_22A_SCDPT1!SCDPT1_141ENDINGG_35</vt:lpstr>
      <vt:lpstr>GMIC_22A_SCDPT1!SCDPT1_141ENDINGG_36</vt:lpstr>
      <vt:lpstr>GMIC_22A_SCDPT1!SCDPT1_141ENDINGG_4</vt:lpstr>
      <vt:lpstr>GMIC_22A_SCDPT1!SCDPT1_141ENDINGG_5</vt:lpstr>
      <vt:lpstr>GMIC_22A_SCDPT1!SCDPT1_141ENDINGG_6.01</vt:lpstr>
      <vt:lpstr>GMIC_22A_SCDPT1!SCDPT1_141ENDINGG_6.02</vt:lpstr>
      <vt:lpstr>GMIC_22A_SCDPT1!SCDPT1_141ENDINGG_6.03</vt:lpstr>
      <vt:lpstr>GMIC_22A_SCDPT1!SCDPT1_141ENDINGG_7</vt:lpstr>
      <vt:lpstr>GMIC_22A_SCDPT1!SCDPT1_141ENDINGG_8</vt:lpstr>
      <vt:lpstr>GMIC_22A_SCDPT1!SCDPT1_141ENDINGG_9</vt:lpstr>
      <vt:lpstr>GMIC_22A_SCDPT1!SCDPT1_1420000000_Range</vt:lpstr>
      <vt:lpstr>GMIC_22A_SCDPT1!SCDPT1_1429999999_10</vt:lpstr>
      <vt:lpstr>GMIC_22A_SCDPT1!SCDPT1_1429999999_11</vt:lpstr>
      <vt:lpstr>GMIC_22A_SCDPT1!SCDPT1_1429999999_12</vt:lpstr>
      <vt:lpstr>GMIC_22A_SCDPT1!SCDPT1_1429999999_13</vt:lpstr>
      <vt:lpstr>GMIC_22A_SCDPT1!SCDPT1_1429999999_14</vt:lpstr>
      <vt:lpstr>GMIC_22A_SCDPT1!SCDPT1_1429999999_15</vt:lpstr>
      <vt:lpstr>GMIC_22A_SCDPT1!SCDPT1_1429999999_19</vt:lpstr>
      <vt:lpstr>GMIC_22A_SCDPT1!SCDPT1_1429999999_20</vt:lpstr>
      <vt:lpstr>GMIC_22A_SCDPT1!SCDPT1_1429999999_7</vt:lpstr>
      <vt:lpstr>GMIC_22A_SCDPT1!SCDPT1_1429999999_9</vt:lpstr>
      <vt:lpstr>GMIC_22A_SCDPT1!SCDPT1_142BEGINNG_1</vt:lpstr>
      <vt:lpstr>GMIC_22A_SCDPT1!SCDPT1_142BEGINNG_10</vt:lpstr>
      <vt:lpstr>GMIC_22A_SCDPT1!SCDPT1_142BEGINNG_11</vt:lpstr>
      <vt:lpstr>GMIC_22A_SCDPT1!SCDPT1_142BEGINNG_12</vt:lpstr>
      <vt:lpstr>GMIC_22A_SCDPT1!SCDPT1_142BEGINNG_13</vt:lpstr>
      <vt:lpstr>GMIC_22A_SCDPT1!SCDPT1_142BEGINNG_14</vt:lpstr>
      <vt:lpstr>GMIC_22A_SCDPT1!SCDPT1_142BEGINNG_15</vt:lpstr>
      <vt:lpstr>GMIC_22A_SCDPT1!SCDPT1_142BEGINNG_16</vt:lpstr>
      <vt:lpstr>GMIC_22A_SCDPT1!SCDPT1_142BEGINNG_17</vt:lpstr>
      <vt:lpstr>GMIC_22A_SCDPT1!SCDPT1_142BEGINNG_18</vt:lpstr>
      <vt:lpstr>GMIC_22A_SCDPT1!SCDPT1_142BEGINNG_19</vt:lpstr>
      <vt:lpstr>GMIC_22A_SCDPT1!SCDPT1_142BEGINNG_2</vt:lpstr>
      <vt:lpstr>GMIC_22A_SCDPT1!SCDPT1_142BEGINNG_20</vt:lpstr>
      <vt:lpstr>GMIC_22A_SCDPT1!SCDPT1_142BEGINNG_21</vt:lpstr>
      <vt:lpstr>GMIC_22A_SCDPT1!SCDPT1_142BEGINNG_22</vt:lpstr>
      <vt:lpstr>GMIC_22A_SCDPT1!SCDPT1_142BEGINNG_23</vt:lpstr>
      <vt:lpstr>GMIC_22A_SCDPT1!SCDPT1_142BEGINNG_24</vt:lpstr>
      <vt:lpstr>GMIC_22A_SCDPT1!SCDPT1_142BEGINNG_25</vt:lpstr>
      <vt:lpstr>GMIC_22A_SCDPT1!SCDPT1_142BEGINNG_26</vt:lpstr>
      <vt:lpstr>GMIC_22A_SCDPT1!SCDPT1_142BEGINNG_27</vt:lpstr>
      <vt:lpstr>GMIC_22A_SCDPT1!SCDPT1_142BEGINNG_28</vt:lpstr>
      <vt:lpstr>GMIC_22A_SCDPT1!SCDPT1_142BEGINNG_29</vt:lpstr>
      <vt:lpstr>GMIC_22A_SCDPT1!SCDPT1_142BEGINNG_3</vt:lpstr>
      <vt:lpstr>GMIC_22A_SCDPT1!SCDPT1_142BEGINNG_30</vt:lpstr>
      <vt:lpstr>GMIC_22A_SCDPT1!SCDPT1_142BEGINNG_31</vt:lpstr>
      <vt:lpstr>GMIC_22A_SCDPT1!SCDPT1_142BEGINNG_32</vt:lpstr>
      <vt:lpstr>GMIC_22A_SCDPT1!SCDPT1_142BEGINNG_33</vt:lpstr>
      <vt:lpstr>GMIC_22A_SCDPT1!SCDPT1_142BEGINNG_34</vt:lpstr>
      <vt:lpstr>GMIC_22A_SCDPT1!SCDPT1_142BEGINNG_35</vt:lpstr>
      <vt:lpstr>GMIC_22A_SCDPT1!SCDPT1_142BEGINNG_36</vt:lpstr>
      <vt:lpstr>GMIC_22A_SCDPT1!SCDPT1_142BEGINNG_4</vt:lpstr>
      <vt:lpstr>GMIC_22A_SCDPT1!SCDPT1_142BEGINNG_5</vt:lpstr>
      <vt:lpstr>GMIC_22A_SCDPT1!SCDPT1_142BEGINNG_6.01</vt:lpstr>
      <vt:lpstr>GMIC_22A_SCDPT1!SCDPT1_142BEGINNG_6.02</vt:lpstr>
      <vt:lpstr>GMIC_22A_SCDPT1!SCDPT1_142BEGINNG_6.03</vt:lpstr>
      <vt:lpstr>GMIC_22A_SCDPT1!SCDPT1_142BEGINNG_7</vt:lpstr>
      <vt:lpstr>GMIC_22A_SCDPT1!SCDPT1_142BEGINNG_8</vt:lpstr>
      <vt:lpstr>GMIC_22A_SCDPT1!SCDPT1_142BEGINNG_9</vt:lpstr>
      <vt:lpstr>GMIC_22A_SCDPT1!SCDPT1_142ENDINGG_10</vt:lpstr>
      <vt:lpstr>GMIC_22A_SCDPT1!SCDPT1_142ENDINGG_11</vt:lpstr>
      <vt:lpstr>GMIC_22A_SCDPT1!SCDPT1_142ENDINGG_12</vt:lpstr>
      <vt:lpstr>GMIC_22A_SCDPT1!SCDPT1_142ENDINGG_13</vt:lpstr>
      <vt:lpstr>GMIC_22A_SCDPT1!SCDPT1_142ENDINGG_14</vt:lpstr>
      <vt:lpstr>GMIC_22A_SCDPT1!SCDPT1_142ENDINGG_15</vt:lpstr>
      <vt:lpstr>GMIC_22A_SCDPT1!SCDPT1_142ENDINGG_16</vt:lpstr>
      <vt:lpstr>GMIC_22A_SCDPT1!SCDPT1_142ENDINGG_17</vt:lpstr>
      <vt:lpstr>GMIC_22A_SCDPT1!SCDPT1_142ENDINGG_18</vt:lpstr>
      <vt:lpstr>GMIC_22A_SCDPT1!SCDPT1_142ENDINGG_19</vt:lpstr>
      <vt:lpstr>GMIC_22A_SCDPT1!SCDPT1_142ENDINGG_2</vt:lpstr>
      <vt:lpstr>GMIC_22A_SCDPT1!SCDPT1_142ENDINGG_20</vt:lpstr>
      <vt:lpstr>GMIC_22A_SCDPT1!SCDPT1_142ENDINGG_21</vt:lpstr>
      <vt:lpstr>GMIC_22A_SCDPT1!SCDPT1_142ENDINGG_22</vt:lpstr>
      <vt:lpstr>GMIC_22A_SCDPT1!SCDPT1_142ENDINGG_23</vt:lpstr>
      <vt:lpstr>GMIC_22A_SCDPT1!SCDPT1_142ENDINGG_24</vt:lpstr>
      <vt:lpstr>GMIC_22A_SCDPT1!SCDPT1_142ENDINGG_25</vt:lpstr>
      <vt:lpstr>GMIC_22A_SCDPT1!SCDPT1_142ENDINGG_26</vt:lpstr>
      <vt:lpstr>GMIC_22A_SCDPT1!SCDPT1_142ENDINGG_27</vt:lpstr>
      <vt:lpstr>GMIC_22A_SCDPT1!SCDPT1_142ENDINGG_28</vt:lpstr>
      <vt:lpstr>GMIC_22A_SCDPT1!SCDPT1_142ENDINGG_29</vt:lpstr>
      <vt:lpstr>GMIC_22A_SCDPT1!SCDPT1_142ENDINGG_3</vt:lpstr>
      <vt:lpstr>GMIC_22A_SCDPT1!SCDPT1_142ENDINGG_30</vt:lpstr>
      <vt:lpstr>GMIC_22A_SCDPT1!SCDPT1_142ENDINGG_31</vt:lpstr>
      <vt:lpstr>GMIC_22A_SCDPT1!SCDPT1_142ENDINGG_32</vt:lpstr>
      <vt:lpstr>GMIC_22A_SCDPT1!SCDPT1_142ENDINGG_33</vt:lpstr>
      <vt:lpstr>GMIC_22A_SCDPT1!SCDPT1_142ENDINGG_34</vt:lpstr>
      <vt:lpstr>GMIC_22A_SCDPT1!SCDPT1_142ENDINGG_35</vt:lpstr>
      <vt:lpstr>GMIC_22A_SCDPT1!SCDPT1_142ENDINGG_36</vt:lpstr>
      <vt:lpstr>GMIC_22A_SCDPT1!SCDPT1_142ENDINGG_4</vt:lpstr>
      <vt:lpstr>GMIC_22A_SCDPT1!SCDPT1_142ENDINGG_5</vt:lpstr>
      <vt:lpstr>GMIC_22A_SCDPT1!SCDPT1_142ENDINGG_6.01</vt:lpstr>
      <vt:lpstr>GMIC_22A_SCDPT1!SCDPT1_142ENDINGG_6.02</vt:lpstr>
      <vt:lpstr>GMIC_22A_SCDPT1!SCDPT1_142ENDINGG_6.03</vt:lpstr>
      <vt:lpstr>GMIC_22A_SCDPT1!SCDPT1_142ENDINGG_7</vt:lpstr>
      <vt:lpstr>GMIC_22A_SCDPT1!SCDPT1_142ENDINGG_8</vt:lpstr>
      <vt:lpstr>GMIC_22A_SCDPT1!SCDPT1_142ENDINGG_9</vt:lpstr>
      <vt:lpstr>GMIC_22A_SCDPT1!SCDPT1_1430000000_Range</vt:lpstr>
      <vt:lpstr>GMIC_22A_SCDPT1!SCDPT1_1439999999_10</vt:lpstr>
      <vt:lpstr>GMIC_22A_SCDPT1!SCDPT1_1439999999_11</vt:lpstr>
      <vt:lpstr>GMIC_22A_SCDPT1!SCDPT1_1439999999_12</vt:lpstr>
      <vt:lpstr>GMIC_22A_SCDPT1!SCDPT1_1439999999_13</vt:lpstr>
      <vt:lpstr>GMIC_22A_SCDPT1!SCDPT1_1439999999_14</vt:lpstr>
      <vt:lpstr>GMIC_22A_SCDPT1!SCDPT1_1439999999_15</vt:lpstr>
      <vt:lpstr>GMIC_22A_SCDPT1!SCDPT1_1439999999_19</vt:lpstr>
      <vt:lpstr>GMIC_22A_SCDPT1!SCDPT1_1439999999_20</vt:lpstr>
      <vt:lpstr>GMIC_22A_SCDPT1!SCDPT1_1439999999_7</vt:lpstr>
      <vt:lpstr>GMIC_22A_SCDPT1!SCDPT1_1439999999_9</vt:lpstr>
      <vt:lpstr>GMIC_22A_SCDPT1!SCDPT1_143BEGINNG_1</vt:lpstr>
      <vt:lpstr>GMIC_22A_SCDPT1!SCDPT1_143BEGINNG_10</vt:lpstr>
      <vt:lpstr>GMIC_22A_SCDPT1!SCDPT1_143BEGINNG_11</vt:lpstr>
      <vt:lpstr>GMIC_22A_SCDPT1!SCDPT1_143BEGINNG_12</vt:lpstr>
      <vt:lpstr>GMIC_22A_SCDPT1!SCDPT1_143BEGINNG_13</vt:lpstr>
      <vt:lpstr>GMIC_22A_SCDPT1!SCDPT1_143BEGINNG_14</vt:lpstr>
      <vt:lpstr>GMIC_22A_SCDPT1!SCDPT1_143BEGINNG_15</vt:lpstr>
      <vt:lpstr>GMIC_22A_SCDPT1!SCDPT1_143BEGINNG_16</vt:lpstr>
      <vt:lpstr>GMIC_22A_SCDPT1!SCDPT1_143BEGINNG_17</vt:lpstr>
      <vt:lpstr>GMIC_22A_SCDPT1!SCDPT1_143BEGINNG_18</vt:lpstr>
      <vt:lpstr>GMIC_22A_SCDPT1!SCDPT1_143BEGINNG_19</vt:lpstr>
      <vt:lpstr>GMIC_22A_SCDPT1!SCDPT1_143BEGINNG_2</vt:lpstr>
      <vt:lpstr>GMIC_22A_SCDPT1!SCDPT1_143BEGINNG_20</vt:lpstr>
      <vt:lpstr>GMIC_22A_SCDPT1!SCDPT1_143BEGINNG_21</vt:lpstr>
      <vt:lpstr>GMIC_22A_SCDPT1!SCDPT1_143BEGINNG_22</vt:lpstr>
      <vt:lpstr>GMIC_22A_SCDPT1!SCDPT1_143BEGINNG_23</vt:lpstr>
      <vt:lpstr>GMIC_22A_SCDPT1!SCDPT1_143BEGINNG_24</vt:lpstr>
      <vt:lpstr>GMIC_22A_SCDPT1!SCDPT1_143BEGINNG_25</vt:lpstr>
      <vt:lpstr>GMIC_22A_SCDPT1!SCDPT1_143BEGINNG_26</vt:lpstr>
      <vt:lpstr>GMIC_22A_SCDPT1!SCDPT1_143BEGINNG_27</vt:lpstr>
      <vt:lpstr>GMIC_22A_SCDPT1!SCDPT1_143BEGINNG_28</vt:lpstr>
      <vt:lpstr>GMIC_22A_SCDPT1!SCDPT1_143BEGINNG_29</vt:lpstr>
      <vt:lpstr>GMIC_22A_SCDPT1!SCDPT1_143BEGINNG_3</vt:lpstr>
      <vt:lpstr>GMIC_22A_SCDPT1!SCDPT1_143BEGINNG_30</vt:lpstr>
      <vt:lpstr>GMIC_22A_SCDPT1!SCDPT1_143BEGINNG_31</vt:lpstr>
      <vt:lpstr>GMIC_22A_SCDPT1!SCDPT1_143BEGINNG_32</vt:lpstr>
      <vt:lpstr>GMIC_22A_SCDPT1!SCDPT1_143BEGINNG_33</vt:lpstr>
      <vt:lpstr>GMIC_22A_SCDPT1!SCDPT1_143BEGINNG_34</vt:lpstr>
      <vt:lpstr>GMIC_22A_SCDPT1!SCDPT1_143BEGINNG_35</vt:lpstr>
      <vt:lpstr>GMIC_22A_SCDPT1!SCDPT1_143BEGINNG_36</vt:lpstr>
      <vt:lpstr>GMIC_22A_SCDPT1!SCDPT1_143BEGINNG_4</vt:lpstr>
      <vt:lpstr>GMIC_22A_SCDPT1!SCDPT1_143BEGINNG_5</vt:lpstr>
      <vt:lpstr>GMIC_22A_SCDPT1!SCDPT1_143BEGINNG_6.01</vt:lpstr>
      <vt:lpstr>GMIC_22A_SCDPT1!SCDPT1_143BEGINNG_6.02</vt:lpstr>
      <vt:lpstr>GMIC_22A_SCDPT1!SCDPT1_143BEGINNG_6.03</vt:lpstr>
      <vt:lpstr>GMIC_22A_SCDPT1!SCDPT1_143BEGINNG_7</vt:lpstr>
      <vt:lpstr>GMIC_22A_SCDPT1!SCDPT1_143BEGINNG_8</vt:lpstr>
      <vt:lpstr>GMIC_22A_SCDPT1!SCDPT1_143BEGINNG_9</vt:lpstr>
      <vt:lpstr>GMIC_22A_SCDPT1!SCDPT1_143ENDINGG_10</vt:lpstr>
      <vt:lpstr>GMIC_22A_SCDPT1!SCDPT1_143ENDINGG_11</vt:lpstr>
      <vt:lpstr>GMIC_22A_SCDPT1!SCDPT1_143ENDINGG_12</vt:lpstr>
      <vt:lpstr>GMIC_22A_SCDPT1!SCDPT1_143ENDINGG_13</vt:lpstr>
      <vt:lpstr>GMIC_22A_SCDPT1!SCDPT1_143ENDINGG_14</vt:lpstr>
      <vt:lpstr>GMIC_22A_SCDPT1!SCDPT1_143ENDINGG_15</vt:lpstr>
      <vt:lpstr>GMIC_22A_SCDPT1!SCDPT1_143ENDINGG_16</vt:lpstr>
      <vt:lpstr>GMIC_22A_SCDPT1!SCDPT1_143ENDINGG_17</vt:lpstr>
      <vt:lpstr>GMIC_22A_SCDPT1!SCDPT1_143ENDINGG_18</vt:lpstr>
      <vt:lpstr>GMIC_22A_SCDPT1!SCDPT1_143ENDINGG_19</vt:lpstr>
      <vt:lpstr>GMIC_22A_SCDPT1!SCDPT1_143ENDINGG_2</vt:lpstr>
      <vt:lpstr>GMIC_22A_SCDPT1!SCDPT1_143ENDINGG_20</vt:lpstr>
      <vt:lpstr>GMIC_22A_SCDPT1!SCDPT1_143ENDINGG_21</vt:lpstr>
      <vt:lpstr>GMIC_22A_SCDPT1!SCDPT1_143ENDINGG_22</vt:lpstr>
      <vt:lpstr>GMIC_22A_SCDPT1!SCDPT1_143ENDINGG_23</vt:lpstr>
      <vt:lpstr>GMIC_22A_SCDPT1!SCDPT1_143ENDINGG_24</vt:lpstr>
      <vt:lpstr>GMIC_22A_SCDPT1!SCDPT1_143ENDINGG_25</vt:lpstr>
      <vt:lpstr>GMIC_22A_SCDPT1!SCDPT1_143ENDINGG_26</vt:lpstr>
      <vt:lpstr>GMIC_22A_SCDPT1!SCDPT1_143ENDINGG_27</vt:lpstr>
      <vt:lpstr>GMIC_22A_SCDPT1!SCDPT1_143ENDINGG_28</vt:lpstr>
      <vt:lpstr>GMIC_22A_SCDPT1!SCDPT1_143ENDINGG_29</vt:lpstr>
      <vt:lpstr>GMIC_22A_SCDPT1!SCDPT1_143ENDINGG_3</vt:lpstr>
      <vt:lpstr>GMIC_22A_SCDPT1!SCDPT1_143ENDINGG_30</vt:lpstr>
      <vt:lpstr>GMIC_22A_SCDPT1!SCDPT1_143ENDINGG_31</vt:lpstr>
      <vt:lpstr>GMIC_22A_SCDPT1!SCDPT1_143ENDINGG_32</vt:lpstr>
      <vt:lpstr>GMIC_22A_SCDPT1!SCDPT1_143ENDINGG_33</vt:lpstr>
      <vt:lpstr>GMIC_22A_SCDPT1!SCDPT1_143ENDINGG_34</vt:lpstr>
      <vt:lpstr>GMIC_22A_SCDPT1!SCDPT1_143ENDINGG_35</vt:lpstr>
      <vt:lpstr>GMIC_22A_SCDPT1!SCDPT1_143ENDINGG_36</vt:lpstr>
      <vt:lpstr>GMIC_22A_SCDPT1!SCDPT1_143ENDINGG_4</vt:lpstr>
      <vt:lpstr>GMIC_22A_SCDPT1!SCDPT1_143ENDINGG_5</vt:lpstr>
      <vt:lpstr>GMIC_22A_SCDPT1!SCDPT1_143ENDINGG_6.01</vt:lpstr>
      <vt:lpstr>GMIC_22A_SCDPT1!SCDPT1_143ENDINGG_6.02</vt:lpstr>
      <vt:lpstr>GMIC_22A_SCDPT1!SCDPT1_143ENDINGG_6.03</vt:lpstr>
      <vt:lpstr>GMIC_22A_SCDPT1!SCDPT1_143ENDINGG_7</vt:lpstr>
      <vt:lpstr>GMIC_22A_SCDPT1!SCDPT1_143ENDINGG_8</vt:lpstr>
      <vt:lpstr>GMIC_22A_SCDPT1!SCDPT1_143ENDINGG_9</vt:lpstr>
      <vt:lpstr>GMIC_22A_SCDPT1!SCDPT1_1440000000_Range</vt:lpstr>
      <vt:lpstr>GMIC_22A_SCDPT1!SCDPT1_1449999999_10</vt:lpstr>
      <vt:lpstr>GMIC_22A_SCDPT1!SCDPT1_1449999999_11</vt:lpstr>
      <vt:lpstr>GMIC_22A_SCDPT1!SCDPT1_1449999999_12</vt:lpstr>
      <vt:lpstr>GMIC_22A_SCDPT1!SCDPT1_1449999999_13</vt:lpstr>
      <vt:lpstr>GMIC_22A_SCDPT1!SCDPT1_1449999999_14</vt:lpstr>
      <vt:lpstr>GMIC_22A_SCDPT1!SCDPT1_1449999999_15</vt:lpstr>
      <vt:lpstr>GMIC_22A_SCDPT1!SCDPT1_1449999999_19</vt:lpstr>
      <vt:lpstr>GMIC_22A_SCDPT1!SCDPT1_1449999999_20</vt:lpstr>
      <vt:lpstr>GMIC_22A_SCDPT1!SCDPT1_1449999999_7</vt:lpstr>
      <vt:lpstr>GMIC_22A_SCDPT1!SCDPT1_1449999999_9</vt:lpstr>
      <vt:lpstr>GMIC_22A_SCDPT1!SCDPT1_144BEGINNG_1</vt:lpstr>
      <vt:lpstr>GMIC_22A_SCDPT1!SCDPT1_144BEGINNG_10</vt:lpstr>
      <vt:lpstr>GMIC_22A_SCDPT1!SCDPT1_144BEGINNG_11</vt:lpstr>
      <vt:lpstr>GMIC_22A_SCDPT1!SCDPT1_144BEGINNG_12</vt:lpstr>
      <vt:lpstr>GMIC_22A_SCDPT1!SCDPT1_144BEGINNG_13</vt:lpstr>
      <vt:lpstr>GMIC_22A_SCDPT1!SCDPT1_144BEGINNG_14</vt:lpstr>
      <vt:lpstr>GMIC_22A_SCDPT1!SCDPT1_144BEGINNG_15</vt:lpstr>
      <vt:lpstr>GMIC_22A_SCDPT1!SCDPT1_144BEGINNG_16</vt:lpstr>
      <vt:lpstr>GMIC_22A_SCDPT1!SCDPT1_144BEGINNG_17</vt:lpstr>
      <vt:lpstr>GMIC_22A_SCDPT1!SCDPT1_144BEGINNG_18</vt:lpstr>
      <vt:lpstr>GMIC_22A_SCDPT1!SCDPT1_144BEGINNG_19</vt:lpstr>
      <vt:lpstr>GMIC_22A_SCDPT1!SCDPT1_144BEGINNG_2</vt:lpstr>
      <vt:lpstr>GMIC_22A_SCDPT1!SCDPT1_144BEGINNG_20</vt:lpstr>
      <vt:lpstr>GMIC_22A_SCDPT1!SCDPT1_144BEGINNG_21</vt:lpstr>
      <vt:lpstr>GMIC_22A_SCDPT1!SCDPT1_144BEGINNG_22</vt:lpstr>
      <vt:lpstr>GMIC_22A_SCDPT1!SCDPT1_144BEGINNG_23</vt:lpstr>
      <vt:lpstr>GMIC_22A_SCDPT1!SCDPT1_144BEGINNG_24</vt:lpstr>
      <vt:lpstr>GMIC_22A_SCDPT1!SCDPT1_144BEGINNG_25</vt:lpstr>
      <vt:lpstr>GMIC_22A_SCDPT1!SCDPT1_144BEGINNG_26</vt:lpstr>
      <vt:lpstr>GMIC_22A_SCDPT1!SCDPT1_144BEGINNG_27</vt:lpstr>
      <vt:lpstr>GMIC_22A_SCDPT1!SCDPT1_144BEGINNG_28</vt:lpstr>
      <vt:lpstr>GMIC_22A_SCDPT1!SCDPT1_144BEGINNG_29</vt:lpstr>
      <vt:lpstr>GMIC_22A_SCDPT1!SCDPT1_144BEGINNG_3</vt:lpstr>
      <vt:lpstr>GMIC_22A_SCDPT1!SCDPT1_144BEGINNG_30</vt:lpstr>
      <vt:lpstr>GMIC_22A_SCDPT1!SCDPT1_144BEGINNG_31</vt:lpstr>
      <vt:lpstr>GMIC_22A_SCDPT1!SCDPT1_144BEGINNG_32</vt:lpstr>
      <vt:lpstr>GMIC_22A_SCDPT1!SCDPT1_144BEGINNG_33</vt:lpstr>
      <vt:lpstr>GMIC_22A_SCDPT1!SCDPT1_144BEGINNG_34</vt:lpstr>
      <vt:lpstr>GMIC_22A_SCDPT1!SCDPT1_144BEGINNG_35</vt:lpstr>
      <vt:lpstr>GMIC_22A_SCDPT1!SCDPT1_144BEGINNG_36</vt:lpstr>
      <vt:lpstr>GMIC_22A_SCDPT1!SCDPT1_144BEGINNG_4</vt:lpstr>
      <vt:lpstr>GMIC_22A_SCDPT1!SCDPT1_144BEGINNG_5</vt:lpstr>
      <vt:lpstr>GMIC_22A_SCDPT1!SCDPT1_144BEGINNG_6.01</vt:lpstr>
      <vt:lpstr>GMIC_22A_SCDPT1!SCDPT1_144BEGINNG_6.02</vt:lpstr>
      <vt:lpstr>GMIC_22A_SCDPT1!SCDPT1_144BEGINNG_6.03</vt:lpstr>
      <vt:lpstr>GMIC_22A_SCDPT1!SCDPT1_144BEGINNG_7</vt:lpstr>
      <vt:lpstr>GMIC_22A_SCDPT1!SCDPT1_144BEGINNG_8</vt:lpstr>
      <vt:lpstr>GMIC_22A_SCDPT1!SCDPT1_144BEGINNG_9</vt:lpstr>
      <vt:lpstr>GMIC_22A_SCDPT1!SCDPT1_144ENDINGG_10</vt:lpstr>
      <vt:lpstr>GMIC_22A_SCDPT1!SCDPT1_144ENDINGG_11</vt:lpstr>
      <vt:lpstr>GMIC_22A_SCDPT1!SCDPT1_144ENDINGG_12</vt:lpstr>
      <vt:lpstr>GMIC_22A_SCDPT1!SCDPT1_144ENDINGG_13</vt:lpstr>
      <vt:lpstr>GMIC_22A_SCDPT1!SCDPT1_144ENDINGG_14</vt:lpstr>
      <vt:lpstr>GMIC_22A_SCDPT1!SCDPT1_144ENDINGG_15</vt:lpstr>
      <vt:lpstr>GMIC_22A_SCDPT1!SCDPT1_144ENDINGG_16</vt:lpstr>
      <vt:lpstr>GMIC_22A_SCDPT1!SCDPT1_144ENDINGG_17</vt:lpstr>
      <vt:lpstr>GMIC_22A_SCDPT1!SCDPT1_144ENDINGG_18</vt:lpstr>
      <vt:lpstr>GMIC_22A_SCDPT1!SCDPT1_144ENDINGG_19</vt:lpstr>
      <vt:lpstr>GMIC_22A_SCDPT1!SCDPT1_144ENDINGG_2</vt:lpstr>
      <vt:lpstr>GMIC_22A_SCDPT1!SCDPT1_144ENDINGG_20</vt:lpstr>
      <vt:lpstr>GMIC_22A_SCDPT1!SCDPT1_144ENDINGG_21</vt:lpstr>
      <vt:lpstr>GMIC_22A_SCDPT1!SCDPT1_144ENDINGG_22</vt:lpstr>
      <vt:lpstr>GMIC_22A_SCDPT1!SCDPT1_144ENDINGG_23</vt:lpstr>
      <vt:lpstr>GMIC_22A_SCDPT1!SCDPT1_144ENDINGG_24</vt:lpstr>
      <vt:lpstr>GMIC_22A_SCDPT1!SCDPT1_144ENDINGG_25</vt:lpstr>
      <vt:lpstr>GMIC_22A_SCDPT1!SCDPT1_144ENDINGG_26</vt:lpstr>
      <vt:lpstr>GMIC_22A_SCDPT1!SCDPT1_144ENDINGG_27</vt:lpstr>
      <vt:lpstr>GMIC_22A_SCDPT1!SCDPT1_144ENDINGG_28</vt:lpstr>
      <vt:lpstr>GMIC_22A_SCDPT1!SCDPT1_144ENDINGG_29</vt:lpstr>
      <vt:lpstr>GMIC_22A_SCDPT1!SCDPT1_144ENDINGG_3</vt:lpstr>
      <vt:lpstr>GMIC_22A_SCDPT1!SCDPT1_144ENDINGG_30</vt:lpstr>
      <vt:lpstr>GMIC_22A_SCDPT1!SCDPT1_144ENDINGG_31</vt:lpstr>
      <vt:lpstr>GMIC_22A_SCDPT1!SCDPT1_144ENDINGG_32</vt:lpstr>
      <vt:lpstr>GMIC_22A_SCDPT1!SCDPT1_144ENDINGG_33</vt:lpstr>
      <vt:lpstr>GMIC_22A_SCDPT1!SCDPT1_144ENDINGG_34</vt:lpstr>
      <vt:lpstr>GMIC_22A_SCDPT1!SCDPT1_144ENDINGG_35</vt:lpstr>
      <vt:lpstr>GMIC_22A_SCDPT1!SCDPT1_144ENDINGG_36</vt:lpstr>
      <vt:lpstr>GMIC_22A_SCDPT1!SCDPT1_144ENDINGG_4</vt:lpstr>
      <vt:lpstr>GMIC_22A_SCDPT1!SCDPT1_144ENDINGG_5</vt:lpstr>
      <vt:lpstr>GMIC_22A_SCDPT1!SCDPT1_144ENDINGG_6.01</vt:lpstr>
      <vt:lpstr>GMIC_22A_SCDPT1!SCDPT1_144ENDINGG_6.02</vt:lpstr>
      <vt:lpstr>GMIC_22A_SCDPT1!SCDPT1_144ENDINGG_6.03</vt:lpstr>
      <vt:lpstr>GMIC_22A_SCDPT1!SCDPT1_144ENDINGG_7</vt:lpstr>
      <vt:lpstr>GMIC_22A_SCDPT1!SCDPT1_144ENDINGG_8</vt:lpstr>
      <vt:lpstr>GMIC_22A_SCDPT1!SCDPT1_144ENDINGG_9</vt:lpstr>
      <vt:lpstr>GMIC_22A_SCDPT1!SCDPT1_1450000000_Range</vt:lpstr>
      <vt:lpstr>GMIC_22A_SCDPT1!SCDPT1_1459999999_10</vt:lpstr>
      <vt:lpstr>GMIC_22A_SCDPT1!SCDPT1_1459999999_11</vt:lpstr>
      <vt:lpstr>GMIC_22A_SCDPT1!SCDPT1_1459999999_12</vt:lpstr>
      <vt:lpstr>GMIC_22A_SCDPT1!SCDPT1_1459999999_13</vt:lpstr>
      <vt:lpstr>GMIC_22A_SCDPT1!SCDPT1_1459999999_14</vt:lpstr>
      <vt:lpstr>GMIC_22A_SCDPT1!SCDPT1_1459999999_15</vt:lpstr>
      <vt:lpstr>GMIC_22A_SCDPT1!SCDPT1_1459999999_19</vt:lpstr>
      <vt:lpstr>GMIC_22A_SCDPT1!SCDPT1_1459999999_20</vt:lpstr>
      <vt:lpstr>GMIC_22A_SCDPT1!SCDPT1_1459999999_7</vt:lpstr>
      <vt:lpstr>GMIC_22A_SCDPT1!SCDPT1_1459999999_9</vt:lpstr>
      <vt:lpstr>GMIC_22A_SCDPT1!SCDPT1_145BEGINNG_1</vt:lpstr>
      <vt:lpstr>GMIC_22A_SCDPT1!SCDPT1_145BEGINNG_10</vt:lpstr>
      <vt:lpstr>GMIC_22A_SCDPT1!SCDPT1_145BEGINNG_11</vt:lpstr>
      <vt:lpstr>GMIC_22A_SCDPT1!SCDPT1_145BEGINNG_12</vt:lpstr>
      <vt:lpstr>GMIC_22A_SCDPT1!SCDPT1_145BEGINNG_13</vt:lpstr>
      <vt:lpstr>GMIC_22A_SCDPT1!SCDPT1_145BEGINNG_14</vt:lpstr>
      <vt:lpstr>GMIC_22A_SCDPT1!SCDPT1_145BEGINNG_15</vt:lpstr>
      <vt:lpstr>GMIC_22A_SCDPT1!SCDPT1_145BEGINNG_16</vt:lpstr>
      <vt:lpstr>GMIC_22A_SCDPT1!SCDPT1_145BEGINNG_17</vt:lpstr>
      <vt:lpstr>GMIC_22A_SCDPT1!SCDPT1_145BEGINNG_18</vt:lpstr>
      <vt:lpstr>GMIC_22A_SCDPT1!SCDPT1_145BEGINNG_19</vt:lpstr>
      <vt:lpstr>GMIC_22A_SCDPT1!SCDPT1_145BEGINNG_2</vt:lpstr>
      <vt:lpstr>GMIC_22A_SCDPT1!SCDPT1_145BEGINNG_20</vt:lpstr>
      <vt:lpstr>GMIC_22A_SCDPT1!SCDPT1_145BEGINNG_21</vt:lpstr>
      <vt:lpstr>GMIC_22A_SCDPT1!SCDPT1_145BEGINNG_22</vt:lpstr>
      <vt:lpstr>GMIC_22A_SCDPT1!SCDPT1_145BEGINNG_23</vt:lpstr>
      <vt:lpstr>GMIC_22A_SCDPT1!SCDPT1_145BEGINNG_24</vt:lpstr>
      <vt:lpstr>GMIC_22A_SCDPT1!SCDPT1_145BEGINNG_25</vt:lpstr>
      <vt:lpstr>GMIC_22A_SCDPT1!SCDPT1_145BEGINNG_26</vt:lpstr>
      <vt:lpstr>GMIC_22A_SCDPT1!SCDPT1_145BEGINNG_27</vt:lpstr>
      <vt:lpstr>GMIC_22A_SCDPT1!SCDPT1_145BEGINNG_28</vt:lpstr>
      <vt:lpstr>GMIC_22A_SCDPT1!SCDPT1_145BEGINNG_29</vt:lpstr>
      <vt:lpstr>GMIC_22A_SCDPT1!SCDPT1_145BEGINNG_3</vt:lpstr>
      <vt:lpstr>GMIC_22A_SCDPT1!SCDPT1_145BEGINNG_30</vt:lpstr>
      <vt:lpstr>GMIC_22A_SCDPT1!SCDPT1_145BEGINNG_31</vt:lpstr>
      <vt:lpstr>GMIC_22A_SCDPT1!SCDPT1_145BEGINNG_32</vt:lpstr>
      <vt:lpstr>GMIC_22A_SCDPT1!SCDPT1_145BEGINNG_33</vt:lpstr>
      <vt:lpstr>GMIC_22A_SCDPT1!SCDPT1_145BEGINNG_34</vt:lpstr>
      <vt:lpstr>GMIC_22A_SCDPT1!SCDPT1_145BEGINNG_35</vt:lpstr>
      <vt:lpstr>GMIC_22A_SCDPT1!SCDPT1_145BEGINNG_36</vt:lpstr>
      <vt:lpstr>GMIC_22A_SCDPT1!SCDPT1_145BEGINNG_4</vt:lpstr>
      <vt:lpstr>GMIC_22A_SCDPT1!SCDPT1_145BEGINNG_5</vt:lpstr>
      <vt:lpstr>GMIC_22A_SCDPT1!SCDPT1_145BEGINNG_6.01</vt:lpstr>
      <vt:lpstr>GMIC_22A_SCDPT1!SCDPT1_145BEGINNG_6.02</vt:lpstr>
      <vt:lpstr>GMIC_22A_SCDPT1!SCDPT1_145BEGINNG_6.03</vt:lpstr>
      <vt:lpstr>GMIC_22A_SCDPT1!SCDPT1_145BEGINNG_7</vt:lpstr>
      <vt:lpstr>GMIC_22A_SCDPT1!SCDPT1_145BEGINNG_8</vt:lpstr>
      <vt:lpstr>GMIC_22A_SCDPT1!SCDPT1_145BEGINNG_9</vt:lpstr>
      <vt:lpstr>GMIC_22A_SCDPT1!SCDPT1_145ENDINGG_10</vt:lpstr>
      <vt:lpstr>GMIC_22A_SCDPT1!SCDPT1_145ENDINGG_11</vt:lpstr>
      <vt:lpstr>GMIC_22A_SCDPT1!SCDPT1_145ENDINGG_12</vt:lpstr>
      <vt:lpstr>GMIC_22A_SCDPT1!SCDPT1_145ENDINGG_13</vt:lpstr>
      <vt:lpstr>GMIC_22A_SCDPT1!SCDPT1_145ENDINGG_14</vt:lpstr>
      <vt:lpstr>GMIC_22A_SCDPT1!SCDPT1_145ENDINGG_15</vt:lpstr>
      <vt:lpstr>GMIC_22A_SCDPT1!SCDPT1_145ENDINGG_16</vt:lpstr>
      <vt:lpstr>GMIC_22A_SCDPT1!SCDPT1_145ENDINGG_17</vt:lpstr>
      <vt:lpstr>GMIC_22A_SCDPT1!SCDPT1_145ENDINGG_18</vt:lpstr>
      <vt:lpstr>GMIC_22A_SCDPT1!SCDPT1_145ENDINGG_19</vt:lpstr>
      <vt:lpstr>GMIC_22A_SCDPT1!SCDPT1_145ENDINGG_2</vt:lpstr>
      <vt:lpstr>GMIC_22A_SCDPT1!SCDPT1_145ENDINGG_20</vt:lpstr>
      <vt:lpstr>GMIC_22A_SCDPT1!SCDPT1_145ENDINGG_21</vt:lpstr>
      <vt:lpstr>GMIC_22A_SCDPT1!SCDPT1_145ENDINGG_22</vt:lpstr>
      <vt:lpstr>GMIC_22A_SCDPT1!SCDPT1_145ENDINGG_23</vt:lpstr>
      <vt:lpstr>GMIC_22A_SCDPT1!SCDPT1_145ENDINGG_24</vt:lpstr>
      <vt:lpstr>GMIC_22A_SCDPT1!SCDPT1_145ENDINGG_25</vt:lpstr>
      <vt:lpstr>GMIC_22A_SCDPT1!SCDPT1_145ENDINGG_26</vt:lpstr>
      <vt:lpstr>GMIC_22A_SCDPT1!SCDPT1_145ENDINGG_27</vt:lpstr>
      <vt:lpstr>GMIC_22A_SCDPT1!SCDPT1_145ENDINGG_28</vt:lpstr>
      <vt:lpstr>GMIC_22A_SCDPT1!SCDPT1_145ENDINGG_29</vt:lpstr>
      <vt:lpstr>GMIC_22A_SCDPT1!SCDPT1_145ENDINGG_3</vt:lpstr>
      <vt:lpstr>GMIC_22A_SCDPT1!SCDPT1_145ENDINGG_30</vt:lpstr>
      <vt:lpstr>GMIC_22A_SCDPT1!SCDPT1_145ENDINGG_31</vt:lpstr>
      <vt:lpstr>GMIC_22A_SCDPT1!SCDPT1_145ENDINGG_32</vt:lpstr>
      <vt:lpstr>GMIC_22A_SCDPT1!SCDPT1_145ENDINGG_33</vt:lpstr>
      <vt:lpstr>GMIC_22A_SCDPT1!SCDPT1_145ENDINGG_34</vt:lpstr>
      <vt:lpstr>GMIC_22A_SCDPT1!SCDPT1_145ENDINGG_35</vt:lpstr>
      <vt:lpstr>GMIC_22A_SCDPT1!SCDPT1_145ENDINGG_36</vt:lpstr>
      <vt:lpstr>GMIC_22A_SCDPT1!SCDPT1_145ENDINGG_4</vt:lpstr>
      <vt:lpstr>GMIC_22A_SCDPT1!SCDPT1_145ENDINGG_5</vt:lpstr>
      <vt:lpstr>GMIC_22A_SCDPT1!SCDPT1_145ENDINGG_6.01</vt:lpstr>
      <vt:lpstr>GMIC_22A_SCDPT1!SCDPT1_145ENDINGG_6.02</vt:lpstr>
      <vt:lpstr>GMIC_22A_SCDPT1!SCDPT1_145ENDINGG_6.03</vt:lpstr>
      <vt:lpstr>GMIC_22A_SCDPT1!SCDPT1_145ENDINGG_7</vt:lpstr>
      <vt:lpstr>GMIC_22A_SCDPT1!SCDPT1_145ENDINGG_8</vt:lpstr>
      <vt:lpstr>GMIC_22A_SCDPT1!SCDPT1_145ENDINGG_9</vt:lpstr>
      <vt:lpstr>GMIC_22A_SCDPT1!SCDPT1_1460000000_Range</vt:lpstr>
      <vt:lpstr>GMIC_22A_SCDPT1!SCDPT1_1469999999_10</vt:lpstr>
      <vt:lpstr>GMIC_22A_SCDPT1!SCDPT1_1469999999_11</vt:lpstr>
      <vt:lpstr>GMIC_22A_SCDPT1!SCDPT1_1469999999_12</vt:lpstr>
      <vt:lpstr>GMIC_22A_SCDPT1!SCDPT1_1469999999_13</vt:lpstr>
      <vt:lpstr>GMIC_22A_SCDPT1!SCDPT1_1469999999_14</vt:lpstr>
      <vt:lpstr>GMIC_22A_SCDPT1!SCDPT1_1469999999_15</vt:lpstr>
      <vt:lpstr>GMIC_22A_SCDPT1!SCDPT1_1469999999_19</vt:lpstr>
      <vt:lpstr>GMIC_22A_SCDPT1!SCDPT1_1469999999_20</vt:lpstr>
      <vt:lpstr>GMIC_22A_SCDPT1!SCDPT1_1469999999_7</vt:lpstr>
      <vt:lpstr>GMIC_22A_SCDPT1!SCDPT1_1469999999_9</vt:lpstr>
      <vt:lpstr>GMIC_22A_SCDPT1!SCDPT1_146BEGINNG_1</vt:lpstr>
      <vt:lpstr>GMIC_22A_SCDPT1!SCDPT1_146BEGINNG_10</vt:lpstr>
      <vt:lpstr>GMIC_22A_SCDPT1!SCDPT1_146BEGINNG_11</vt:lpstr>
      <vt:lpstr>GMIC_22A_SCDPT1!SCDPT1_146BEGINNG_12</vt:lpstr>
      <vt:lpstr>GMIC_22A_SCDPT1!SCDPT1_146BEGINNG_13</vt:lpstr>
      <vt:lpstr>GMIC_22A_SCDPT1!SCDPT1_146BEGINNG_14</vt:lpstr>
      <vt:lpstr>GMIC_22A_SCDPT1!SCDPT1_146BEGINNG_15</vt:lpstr>
      <vt:lpstr>GMIC_22A_SCDPT1!SCDPT1_146BEGINNG_16</vt:lpstr>
      <vt:lpstr>GMIC_22A_SCDPT1!SCDPT1_146BEGINNG_17</vt:lpstr>
      <vt:lpstr>GMIC_22A_SCDPT1!SCDPT1_146BEGINNG_18</vt:lpstr>
      <vt:lpstr>GMIC_22A_SCDPT1!SCDPT1_146BEGINNG_19</vt:lpstr>
      <vt:lpstr>GMIC_22A_SCDPT1!SCDPT1_146BEGINNG_2</vt:lpstr>
      <vt:lpstr>GMIC_22A_SCDPT1!SCDPT1_146BEGINNG_20</vt:lpstr>
      <vt:lpstr>GMIC_22A_SCDPT1!SCDPT1_146BEGINNG_21</vt:lpstr>
      <vt:lpstr>GMIC_22A_SCDPT1!SCDPT1_146BEGINNG_22</vt:lpstr>
      <vt:lpstr>GMIC_22A_SCDPT1!SCDPT1_146BEGINNG_23</vt:lpstr>
      <vt:lpstr>GMIC_22A_SCDPT1!SCDPT1_146BEGINNG_24</vt:lpstr>
      <vt:lpstr>GMIC_22A_SCDPT1!SCDPT1_146BEGINNG_25</vt:lpstr>
      <vt:lpstr>GMIC_22A_SCDPT1!SCDPT1_146BEGINNG_26</vt:lpstr>
      <vt:lpstr>GMIC_22A_SCDPT1!SCDPT1_146BEGINNG_27</vt:lpstr>
      <vt:lpstr>GMIC_22A_SCDPT1!SCDPT1_146BEGINNG_28</vt:lpstr>
      <vt:lpstr>GMIC_22A_SCDPT1!SCDPT1_146BEGINNG_29</vt:lpstr>
      <vt:lpstr>GMIC_22A_SCDPT1!SCDPT1_146BEGINNG_3</vt:lpstr>
      <vt:lpstr>GMIC_22A_SCDPT1!SCDPT1_146BEGINNG_30</vt:lpstr>
      <vt:lpstr>GMIC_22A_SCDPT1!SCDPT1_146BEGINNG_31</vt:lpstr>
      <vt:lpstr>GMIC_22A_SCDPT1!SCDPT1_146BEGINNG_32</vt:lpstr>
      <vt:lpstr>GMIC_22A_SCDPT1!SCDPT1_146BEGINNG_33</vt:lpstr>
      <vt:lpstr>GMIC_22A_SCDPT1!SCDPT1_146BEGINNG_34</vt:lpstr>
      <vt:lpstr>GMIC_22A_SCDPT1!SCDPT1_146BEGINNG_35</vt:lpstr>
      <vt:lpstr>GMIC_22A_SCDPT1!SCDPT1_146BEGINNG_36</vt:lpstr>
      <vt:lpstr>GMIC_22A_SCDPT1!SCDPT1_146BEGINNG_4</vt:lpstr>
      <vt:lpstr>GMIC_22A_SCDPT1!SCDPT1_146BEGINNG_5</vt:lpstr>
      <vt:lpstr>GMIC_22A_SCDPT1!SCDPT1_146BEGINNG_6.01</vt:lpstr>
      <vt:lpstr>GMIC_22A_SCDPT1!SCDPT1_146BEGINNG_6.02</vt:lpstr>
      <vt:lpstr>GMIC_22A_SCDPT1!SCDPT1_146BEGINNG_6.03</vt:lpstr>
      <vt:lpstr>GMIC_22A_SCDPT1!SCDPT1_146BEGINNG_7</vt:lpstr>
      <vt:lpstr>GMIC_22A_SCDPT1!SCDPT1_146BEGINNG_8</vt:lpstr>
      <vt:lpstr>GMIC_22A_SCDPT1!SCDPT1_146BEGINNG_9</vt:lpstr>
      <vt:lpstr>GMIC_22A_SCDPT1!SCDPT1_146ENDINGG_10</vt:lpstr>
      <vt:lpstr>GMIC_22A_SCDPT1!SCDPT1_146ENDINGG_11</vt:lpstr>
      <vt:lpstr>GMIC_22A_SCDPT1!SCDPT1_146ENDINGG_12</vt:lpstr>
      <vt:lpstr>GMIC_22A_SCDPT1!SCDPT1_146ENDINGG_13</vt:lpstr>
      <vt:lpstr>GMIC_22A_SCDPT1!SCDPT1_146ENDINGG_14</vt:lpstr>
      <vt:lpstr>GMIC_22A_SCDPT1!SCDPT1_146ENDINGG_15</vt:lpstr>
      <vt:lpstr>GMIC_22A_SCDPT1!SCDPT1_146ENDINGG_16</vt:lpstr>
      <vt:lpstr>GMIC_22A_SCDPT1!SCDPT1_146ENDINGG_17</vt:lpstr>
      <vt:lpstr>GMIC_22A_SCDPT1!SCDPT1_146ENDINGG_18</vt:lpstr>
      <vt:lpstr>GMIC_22A_SCDPT1!SCDPT1_146ENDINGG_19</vt:lpstr>
      <vt:lpstr>GMIC_22A_SCDPT1!SCDPT1_146ENDINGG_2</vt:lpstr>
      <vt:lpstr>GMIC_22A_SCDPT1!SCDPT1_146ENDINGG_20</vt:lpstr>
      <vt:lpstr>GMIC_22A_SCDPT1!SCDPT1_146ENDINGG_21</vt:lpstr>
      <vt:lpstr>GMIC_22A_SCDPT1!SCDPT1_146ENDINGG_22</vt:lpstr>
      <vt:lpstr>GMIC_22A_SCDPT1!SCDPT1_146ENDINGG_23</vt:lpstr>
      <vt:lpstr>GMIC_22A_SCDPT1!SCDPT1_146ENDINGG_24</vt:lpstr>
      <vt:lpstr>GMIC_22A_SCDPT1!SCDPT1_146ENDINGG_25</vt:lpstr>
      <vt:lpstr>GMIC_22A_SCDPT1!SCDPT1_146ENDINGG_26</vt:lpstr>
      <vt:lpstr>GMIC_22A_SCDPT1!SCDPT1_146ENDINGG_27</vt:lpstr>
      <vt:lpstr>GMIC_22A_SCDPT1!SCDPT1_146ENDINGG_28</vt:lpstr>
      <vt:lpstr>GMIC_22A_SCDPT1!SCDPT1_146ENDINGG_29</vt:lpstr>
      <vt:lpstr>GMIC_22A_SCDPT1!SCDPT1_146ENDINGG_3</vt:lpstr>
      <vt:lpstr>GMIC_22A_SCDPT1!SCDPT1_146ENDINGG_30</vt:lpstr>
      <vt:lpstr>GMIC_22A_SCDPT1!SCDPT1_146ENDINGG_31</vt:lpstr>
      <vt:lpstr>GMIC_22A_SCDPT1!SCDPT1_146ENDINGG_32</vt:lpstr>
      <vt:lpstr>GMIC_22A_SCDPT1!SCDPT1_146ENDINGG_33</vt:lpstr>
      <vt:lpstr>GMIC_22A_SCDPT1!SCDPT1_146ENDINGG_34</vt:lpstr>
      <vt:lpstr>GMIC_22A_SCDPT1!SCDPT1_146ENDINGG_35</vt:lpstr>
      <vt:lpstr>GMIC_22A_SCDPT1!SCDPT1_146ENDINGG_36</vt:lpstr>
      <vt:lpstr>GMIC_22A_SCDPT1!SCDPT1_146ENDINGG_4</vt:lpstr>
      <vt:lpstr>GMIC_22A_SCDPT1!SCDPT1_146ENDINGG_5</vt:lpstr>
      <vt:lpstr>GMIC_22A_SCDPT1!SCDPT1_146ENDINGG_6.01</vt:lpstr>
      <vt:lpstr>GMIC_22A_SCDPT1!SCDPT1_146ENDINGG_6.02</vt:lpstr>
      <vt:lpstr>GMIC_22A_SCDPT1!SCDPT1_146ENDINGG_6.03</vt:lpstr>
      <vt:lpstr>GMIC_22A_SCDPT1!SCDPT1_146ENDINGG_7</vt:lpstr>
      <vt:lpstr>GMIC_22A_SCDPT1!SCDPT1_146ENDINGG_8</vt:lpstr>
      <vt:lpstr>GMIC_22A_SCDPT1!SCDPT1_146ENDINGG_9</vt:lpstr>
      <vt:lpstr>GMIC_22A_SCDPT1!SCDPT1_1509999999_10</vt:lpstr>
      <vt:lpstr>GMIC_22A_SCDPT1!SCDPT1_1509999999_11</vt:lpstr>
      <vt:lpstr>GMIC_22A_SCDPT1!SCDPT1_1509999999_12</vt:lpstr>
      <vt:lpstr>GMIC_22A_SCDPT1!SCDPT1_1509999999_13</vt:lpstr>
      <vt:lpstr>GMIC_22A_SCDPT1!SCDPT1_1509999999_14</vt:lpstr>
      <vt:lpstr>GMIC_22A_SCDPT1!SCDPT1_1509999999_15</vt:lpstr>
      <vt:lpstr>GMIC_22A_SCDPT1!SCDPT1_1509999999_19</vt:lpstr>
      <vt:lpstr>GMIC_22A_SCDPT1!SCDPT1_1509999999_20</vt:lpstr>
      <vt:lpstr>GMIC_22A_SCDPT1!SCDPT1_1509999999_7</vt:lpstr>
      <vt:lpstr>GMIC_22A_SCDPT1!SCDPT1_1509999999_9</vt:lpstr>
      <vt:lpstr>GMIC_22A_SCDPT1!SCDPT1_1610000000_Range</vt:lpstr>
      <vt:lpstr>GMIC_22A_SCDPT1!SCDPT1_1619999999_10</vt:lpstr>
      <vt:lpstr>GMIC_22A_SCDPT1!SCDPT1_1619999999_11</vt:lpstr>
      <vt:lpstr>GMIC_22A_SCDPT1!SCDPT1_1619999999_12</vt:lpstr>
      <vt:lpstr>GMIC_22A_SCDPT1!SCDPT1_1619999999_13</vt:lpstr>
      <vt:lpstr>GMIC_22A_SCDPT1!SCDPT1_1619999999_14</vt:lpstr>
      <vt:lpstr>GMIC_22A_SCDPT1!SCDPT1_1619999999_15</vt:lpstr>
      <vt:lpstr>GMIC_22A_SCDPT1!SCDPT1_1619999999_19</vt:lpstr>
      <vt:lpstr>GMIC_22A_SCDPT1!SCDPT1_1619999999_20</vt:lpstr>
      <vt:lpstr>GMIC_22A_SCDPT1!SCDPT1_1619999999_7</vt:lpstr>
      <vt:lpstr>GMIC_22A_SCDPT1!SCDPT1_1619999999_9</vt:lpstr>
      <vt:lpstr>GMIC_22A_SCDPT1!SCDPT1_161BEGINNG_1</vt:lpstr>
      <vt:lpstr>GMIC_22A_SCDPT1!SCDPT1_161BEGINNG_10</vt:lpstr>
      <vt:lpstr>GMIC_22A_SCDPT1!SCDPT1_161BEGINNG_11</vt:lpstr>
      <vt:lpstr>GMIC_22A_SCDPT1!SCDPT1_161BEGINNG_12</vt:lpstr>
      <vt:lpstr>GMIC_22A_SCDPT1!SCDPT1_161BEGINNG_13</vt:lpstr>
      <vt:lpstr>GMIC_22A_SCDPT1!SCDPT1_161BEGINNG_14</vt:lpstr>
      <vt:lpstr>GMIC_22A_SCDPT1!SCDPT1_161BEGINNG_15</vt:lpstr>
      <vt:lpstr>GMIC_22A_SCDPT1!SCDPT1_161BEGINNG_16</vt:lpstr>
      <vt:lpstr>GMIC_22A_SCDPT1!SCDPT1_161BEGINNG_17</vt:lpstr>
      <vt:lpstr>GMIC_22A_SCDPT1!SCDPT1_161BEGINNG_18</vt:lpstr>
      <vt:lpstr>GMIC_22A_SCDPT1!SCDPT1_161BEGINNG_19</vt:lpstr>
      <vt:lpstr>GMIC_22A_SCDPT1!SCDPT1_161BEGINNG_2</vt:lpstr>
      <vt:lpstr>GMIC_22A_SCDPT1!SCDPT1_161BEGINNG_20</vt:lpstr>
      <vt:lpstr>GMIC_22A_SCDPT1!SCDPT1_161BEGINNG_21</vt:lpstr>
      <vt:lpstr>GMIC_22A_SCDPT1!SCDPT1_161BEGINNG_22</vt:lpstr>
      <vt:lpstr>GMIC_22A_SCDPT1!SCDPT1_161BEGINNG_23</vt:lpstr>
      <vt:lpstr>GMIC_22A_SCDPT1!SCDPT1_161BEGINNG_24</vt:lpstr>
      <vt:lpstr>GMIC_22A_SCDPT1!SCDPT1_161BEGINNG_25</vt:lpstr>
      <vt:lpstr>GMIC_22A_SCDPT1!SCDPT1_161BEGINNG_26</vt:lpstr>
      <vt:lpstr>GMIC_22A_SCDPT1!SCDPT1_161BEGINNG_27</vt:lpstr>
      <vt:lpstr>GMIC_22A_SCDPT1!SCDPT1_161BEGINNG_28</vt:lpstr>
      <vt:lpstr>GMIC_22A_SCDPT1!SCDPT1_161BEGINNG_29</vt:lpstr>
      <vt:lpstr>GMIC_22A_SCDPT1!SCDPT1_161BEGINNG_3</vt:lpstr>
      <vt:lpstr>GMIC_22A_SCDPT1!SCDPT1_161BEGINNG_30</vt:lpstr>
      <vt:lpstr>GMIC_22A_SCDPT1!SCDPT1_161BEGINNG_31</vt:lpstr>
      <vt:lpstr>GMIC_22A_SCDPT1!SCDPT1_161BEGINNG_32</vt:lpstr>
      <vt:lpstr>GMIC_22A_SCDPT1!SCDPT1_161BEGINNG_33</vt:lpstr>
      <vt:lpstr>GMIC_22A_SCDPT1!SCDPT1_161BEGINNG_34</vt:lpstr>
      <vt:lpstr>GMIC_22A_SCDPT1!SCDPT1_161BEGINNG_35</vt:lpstr>
      <vt:lpstr>GMIC_22A_SCDPT1!SCDPT1_161BEGINNG_36</vt:lpstr>
      <vt:lpstr>GMIC_22A_SCDPT1!SCDPT1_161BEGINNG_4</vt:lpstr>
      <vt:lpstr>GMIC_22A_SCDPT1!SCDPT1_161BEGINNG_5</vt:lpstr>
      <vt:lpstr>GMIC_22A_SCDPT1!SCDPT1_161BEGINNG_6.01</vt:lpstr>
      <vt:lpstr>GMIC_22A_SCDPT1!SCDPT1_161BEGINNG_6.02</vt:lpstr>
      <vt:lpstr>GMIC_22A_SCDPT1!SCDPT1_161BEGINNG_6.03</vt:lpstr>
      <vt:lpstr>GMIC_22A_SCDPT1!SCDPT1_161BEGINNG_7</vt:lpstr>
      <vt:lpstr>GMIC_22A_SCDPT1!SCDPT1_161BEGINNG_8</vt:lpstr>
      <vt:lpstr>GMIC_22A_SCDPT1!SCDPT1_161BEGINNG_9</vt:lpstr>
      <vt:lpstr>GMIC_22A_SCDPT1!SCDPT1_161ENDINGG_10</vt:lpstr>
      <vt:lpstr>GMIC_22A_SCDPT1!SCDPT1_161ENDINGG_11</vt:lpstr>
      <vt:lpstr>GMIC_22A_SCDPT1!SCDPT1_161ENDINGG_12</vt:lpstr>
      <vt:lpstr>GMIC_22A_SCDPT1!SCDPT1_161ENDINGG_13</vt:lpstr>
      <vt:lpstr>GMIC_22A_SCDPT1!SCDPT1_161ENDINGG_14</vt:lpstr>
      <vt:lpstr>GMIC_22A_SCDPT1!SCDPT1_161ENDINGG_15</vt:lpstr>
      <vt:lpstr>GMIC_22A_SCDPT1!SCDPT1_161ENDINGG_16</vt:lpstr>
      <vt:lpstr>GMIC_22A_SCDPT1!SCDPT1_161ENDINGG_17</vt:lpstr>
      <vt:lpstr>GMIC_22A_SCDPT1!SCDPT1_161ENDINGG_18</vt:lpstr>
      <vt:lpstr>GMIC_22A_SCDPT1!SCDPT1_161ENDINGG_19</vt:lpstr>
      <vt:lpstr>GMIC_22A_SCDPT1!SCDPT1_161ENDINGG_2</vt:lpstr>
      <vt:lpstr>GMIC_22A_SCDPT1!SCDPT1_161ENDINGG_20</vt:lpstr>
      <vt:lpstr>GMIC_22A_SCDPT1!SCDPT1_161ENDINGG_21</vt:lpstr>
      <vt:lpstr>GMIC_22A_SCDPT1!SCDPT1_161ENDINGG_22</vt:lpstr>
      <vt:lpstr>GMIC_22A_SCDPT1!SCDPT1_161ENDINGG_23</vt:lpstr>
      <vt:lpstr>GMIC_22A_SCDPT1!SCDPT1_161ENDINGG_24</vt:lpstr>
      <vt:lpstr>GMIC_22A_SCDPT1!SCDPT1_161ENDINGG_25</vt:lpstr>
      <vt:lpstr>GMIC_22A_SCDPT1!SCDPT1_161ENDINGG_26</vt:lpstr>
      <vt:lpstr>GMIC_22A_SCDPT1!SCDPT1_161ENDINGG_27</vt:lpstr>
      <vt:lpstr>GMIC_22A_SCDPT1!SCDPT1_161ENDINGG_28</vt:lpstr>
      <vt:lpstr>GMIC_22A_SCDPT1!SCDPT1_161ENDINGG_29</vt:lpstr>
      <vt:lpstr>GMIC_22A_SCDPT1!SCDPT1_161ENDINGG_3</vt:lpstr>
      <vt:lpstr>GMIC_22A_SCDPT1!SCDPT1_161ENDINGG_30</vt:lpstr>
      <vt:lpstr>GMIC_22A_SCDPT1!SCDPT1_161ENDINGG_31</vt:lpstr>
      <vt:lpstr>GMIC_22A_SCDPT1!SCDPT1_161ENDINGG_32</vt:lpstr>
      <vt:lpstr>GMIC_22A_SCDPT1!SCDPT1_161ENDINGG_33</vt:lpstr>
      <vt:lpstr>GMIC_22A_SCDPT1!SCDPT1_161ENDINGG_34</vt:lpstr>
      <vt:lpstr>GMIC_22A_SCDPT1!SCDPT1_161ENDINGG_35</vt:lpstr>
      <vt:lpstr>GMIC_22A_SCDPT1!SCDPT1_161ENDINGG_36</vt:lpstr>
      <vt:lpstr>GMIC_22A_SCDPT1!SCDPT1_161ENDINGG_4</vt:lpstr>
      <vt:lpstr>GMIC_22A_SCDPT1!SCDPT1_161ENDINGG_5</vt:lpstr>
      <vt:lpstr>GMIC_22A_SCDPT1!SCDPT1_161ENDINGG_6.01</vt:lpstr>
      <vt:lpstr>GMIC_22A_SCDPT1!SCDPT1_161ENDINGG_6.02</vt:lpstr>
      <vt:lpstr>GMIC_22A_SCDPT1!SCDPT1_161ENDINGG_6.03</vt:lpstr>
      <vt:lpstr>GMIC_22A_SCDPT1!SCDPT1_161ENDINGG_7</vt:lpstr>
      <vt:lpstr>GMIC_22A_SCDPT1!SCDPT1_161ENDINGG_8</vt:lpstr>
      <vt:lpstr>GMIC_22A_SCDPT1!SCDPT1_161ENDINGG_9</vt:lpstr>
      <vt:lpstr>GMIC_22A_SCDPT1!SCDPT1_1810000000_Range</vt:lpstr>
      <vt:lpstr>GMIC_22A_SCDPT1!SCDPT1_1819999999_10</vt:lpstr>
      <vt:lpstr>GMIC_22A_SCDPT1!SCDPT1_1819999999_11</vt:lpstr>
      <vt:lpstr>GMIC_22A_SCDPT1!SCDPT1_1819999999_12</vt:lpstr>
      <vt:lpstr>GMIC_22A_SCDPT1!SCDPT1_1819999999_13</vt:lpstr>
      <vt:lpstr>GMIC_22A_SCDPT1!SCDPT1_1819999999_14</vt:lpstr>
      <vt:lpstr>GMIC_22A_SCDPT1!SCDPT1_1819999999_15</vt:lpstr>
      <vt:lpstr>GMIC_22A_SCDPT1!SCDPT1_1819999999_19</vt:lpstr>
      <vt:lpstr>GMIC_22A_SCDPT1!SCDPT1_1819999999_20</vt:lpstr>
      <vt:lpstr>GMIC_22A_SCDPT1!SCDPT1_1819999999_7</vt:lpstr>
      <vt:lpstr>GMIC_22A_SCDPT1!SCDPT1_1819999999_9</vt:lpstr>
      <vt:lpstr>GMIC_22A_SCDPT1!SCDPT1_181BEGINNG_1</vt:lpstr>
      <vt:lpstr>GMIC_22A_SCDPT1!SCDPT1_181BEGINNG_10</vt:lpstr>
      <vt:lpstr>GMIC_22A_SCDPT1!SCDPT1_181BEGINNG_11</vt:lpstr>
      <vt:lpstr>GMIC_22A_SCDPT1!SCDPT1_181BEGINNG_12</vt:lpstr>
      <vt:lpstr>GMIC_22A_SCDPT1!SCDPT1_181BEGINNG_13</vt:lpstr>
      <vt:lpstr>GMIC_22A_SCDPT1!SCDPT1_181BEGINNG_14</vt:lpstr>
      <vt:lpstr>GMIC_22A_SCDPT1!SCDPT1_181BEGINNG_15</vt:lpstr>
      <vt:lpstr>GMIC_22A_SCDPT1!SCDPT1_181BEGINNG_16</vt:lpstr>
      <vt:lpstr>GMIC_22A_SCDPT1!SCDPT1_181BEGINNG_17</vt:lpstr>
      <vt:lpstr>GMIC_22A_SCDPT1!SCDPT1_181BEGINNG_18</vt:lpstr>
      <vt:lpstr>GMIC_22A_SCDPT1!SCDPT1_181BEGINNG_19</vt:lpstr>
      <vt:lpstr>GMIC_22A_SCDPT1!SCDPT1_181BEGINNG_2</vt:lpstr>
      <vt:lpstr>GMIC_22A_SCDPT1!SCDPT1_181BEGINNG_20</vt:lpstr>
      <vt:lpstr>GMIC_22A_SCDPT1!SCDPT1_181BEGINNG_21</vt:lpstr>
      <vt:lpstr>GMIC_22A_SCDPT1!SCDPT1_181BEGINNG_22</vt:lpstr>
      <vt:lpstr>GMIC_22A_SCDPT1!SCDPT1_181BEGINNG_23</vt:lpstr>
      <vt:lpstr>GMIC_22A_SCDPT1!SCDPT1_181BEGINNG_24</vt:lpstr>
      <vt:lpstr>GMIC_22A_SCDPT1!SCDPT1_181BEGINNG_25</vt:lpstr>
      <vt:lpstr>GMIC_22A_SCDPT1!SCDPT1_181BEGINNG_26</vt:lpstr>
      <vt:lpstr>GMIC_22A_SCDPT1!SCDPT1_181BEGINNG_27</vt:lpstr>
      <vt:lpstr>GMIC_22A_SCDPT1!SCDPT1_181BEGINNG_28</vt:lpstr>
      <vt:lpstr>GMIC_22A_SCDPT1!SCDPT1_181BEGINNG_29</vt:lpstr>
      <vt:lpstr>GMIC_22A_SCDPT1!SCDPT1_181BEGINNG_3</vt:lpstr>
      <vt:lpstr>GMIC_22A_SCDPT1!SCDPT1_181BEGINNG_30</vt:lpstr>
      <vt:lpstr>GMIC_22A_SCDPT1!SCDPT1_181BEGINNG_31</vt:lpstr>
      <vt:lpstr>GMIC_22A_SCDPT1!SCDPT1_181BEGINNG_32</vt:lpstr>
      <vt:lpstr>GMIC_22A_SCDPT1!SCDPT1_181BEGINNG_33</vt:lpstr>
      <vt:lpstr>GMIC_22A_SCDPT1!SCDPT1_181BEGINNG_34</vt:lpstr>
      <vt:lpstr>GMIC_22A_SCDPT1!SCDPT1_181BEGINNG_35</vt:lpstr>
      <vt:lpstr>GMIC_22A_SCDPT1!SCDPT1_181BEGINNG_36</vt:lpstr>
      <vt:lpstr>GMIC_22A_SCDPT1!SCDPT1_181BEGINNG_4</vt:lpstr>
      <vt:lpstr>GMIC_22A_SCDPT1!SCDPT1_181BEGINNG_5</vt:lpstr>
      <vt:lpstr>GMIC_22A_SCDPT1!SCDPT1_181BEGINNG_6.01</vt:lpstr>
      <vt:lpstr>GMIC_22A_SCDPT1!SCDPT1_181BEGINNG_6.02</vt:lpstr>
      <vt:lpstr>GMIC_22A_SCDPT1!SCDPT1_181BEGINNG_6.03</vt:lpstr>
      <vt:lpstr>GMIC_22A_SCDPT1!SCDPT1_181BEGINNG_7</vt:lpstr>
      <vt:lpstr>GMIC_22A_SCDPT1!SCDPT1_181BEGINNG_8</vt:lpstr>
      <vt:lpstr>GMIC_22A_SCDPT1!SCDPT1_181BEGINNG_9</vt:lpstr>
      <vt:lpstr>GMIC_22A_SCDPT1!SCDPT1_181ENDINGG_10</vt:lpstr>
      <vt:lpstr>GMIC_22A_SCDPT1!SCDPT1_181ENDINGG_11</vt:lpstr>
      <vt:lpstr>GMIC_22A_SCDPT1!SCDPT1_181ENDINGG_12</vt:lpstr>
      <vt:lpstr>GMIC_22A_SCDPT1!SCDPT1_181ENDINGG_13</vt:lpstr>
      <vt:lpstr>GMIC_22A_SCDPT1!SCDPT1_181ENDINGG_14</vt:lpstr>
      <vt:lpstr>GMIC_22A_SCDPT1!SCDPT1_181ENDINGG_15</vt:lpstr>
      <vt:lpstr>GMIC_22A_SCDPT1!SCDPT1_181ENDINGG_16</vt:lpstr>
      <vt:lpstr>GMIC_22A_SCDPT1!SCDPT1_181ENDINGG_17</vt:lpstr>
      <vt:lpstr>GMIC_22A_SCDPT1!SCDPT1_181ENDINGG_18</vt:lpstr>
      <vt:lpstr>GMIC_22A_SCDPT1!SCDPT1_181ENDINGG_19</vt:lpstr>
      <vt:lpstr>GMIC_22A_SCDPT1!SCDPT1_181ENDINGG_2</vt:lpstr>
      <vt:lpstr>GMIC_22A_SCDPT1!SCDPT1_181ENDINGG_20</vt:lpstr>
      <vt:lpstr>GMIC_22A_SCDPT1!SCDPT1_181ENDINGG_21</vt:lpstr>
      <vt:lpstr>GMIC_22A_SCDPT1!SCDPT1_181ENDINGG_22</vt:lpstr>
      <vt:lpstr>GMIC_22A_SCDPT1!SCDPT1_181ENDINGG_23</vt:lpstr>
      <vt:lpstr>GMIC_22A_SCDPT1!SCDPT1_181ENDINGG_24</vt:lpstr>
      <vt:lpstr>GMIC_22A_SCDPT1!SCDPT1_181ENDINGG_25</vt:lpstr>
      <vt:lpstr>GMIC_22A_SCDPT1!SCDPT1_181ENDINGG_26</vt:lpstr>
      <vt:lpstr>GMIC_22A_SCDPT1!SCDPT1_181ENDINGG_27</vt:lpstr>
      <vt:lpstr>GMIC_22A_SCDPT1!SCDPT1_181ENDINGG_28</vt:lpstr>
      <vt:lpstr>GMIC_22A_SCDPT1!SCDPT1_181ENDINGG_29</vt:lpstr>
      <vt:lpstr>GMIC_22A_SCDPT1!SCDPT1_181ENDINGG_3</vt:lpstr>
      <vt:lpstr>GMIC_22A_SCDPT1!SCDPT1_181ENDINGG_30</vt:lpstr>
      <vt:lpstr>GMIC_22A_SCDPT1!SCDPT1_181ENDINGG_31</vt:lpstr>
      <vt:lpstr>GMIC_22A_SCDPT1!SCDPT1_181ENDINGG_32</vt:lpstr>
      <vt:lpstr>GMIC_22A_SCDPT1!SCDPT1_181ENDINGG_33</vt:lpstr>
      <vt:lpstr>GMIC_22A_SCDPT1!SCDPT1_181ENDINGG_34</vt:lpstr>
      <vt:lpstr>GMIC_22A_SCDPT1!SCDPT1_181ENDINGG_35</vt:lpstr>
      <vt:lpstr>GMIC_22A_SCDPT1!SCDPT1_181ENDINGG_36</vt:lpstr>
      <vt:lpstr>GMIC_22A_SCDPT1!SCDPT1_181ENDINGG_4</vt:lpstr>
      <vt:lpstr>GMIC_22A_SCDPT1!SCDPT1_181ENDINGG_5</vt:lpstr>
      <vt:lpstr>GMIC_22A_SCDPT1!SCDPT1_181ENDINGG_6.01</vt:lpstr>
      <vt:lpstr>GMIC_22A_SCDPT1!SCDPT1_181ENDINGG_6.02</vt:lpstr>
      <vt:lpstr>GMIC_22A_SCDPT1!SCDPT1_181ENDINGG_6.03</vt:lpstr>
      <vt:lpstr>GMIC_22A_SCDPT1!SCDPT1_181ENDINGG_7</vt:lpstr>
      <vt:lpstr>GMIC_22A_SCDPT1!SCDPT1_181ENDINGG_8</vt:lpstr>
      <vt:lpstr>GMIC_22A_SCDPT1!SCDPT1_181ENDINGG_9</vt:lpstr>
      <vt:lpstr>GMIC_22A_SCDPT1!SCDPT1_1820000000_Range</vt:lpstr>
      <vt:lpstr>GMIC_22A_SCDPT1!SCDPT1_1829999999_10</vt:lpstr>
      <vt:lpstr>GMIC_22A_SCDPT1!SCDPT1_1829999999_11</vt:lpstr>
      <vt:lpstr>GMIC_22A_SCDPT1!SCDPT1_1829999999_12</vt:lpstr>
      <vt:lpstr>GMIC_22A_SCDPT1!SCDPT1_1829999999_13</vt:lpstr>
      <vt:lpstr>GMIC_22A_SCDPT1!SCDPT1_1829999999_14</vt:lpstr>
      <vt:lpstr>GMIC_22A_SCDPT1!SCDPT1_1829999999_15</vt:lpstr>
      <vt:lpstr>GMIC_22A_SCDPT1!SCDPT1_1829999999_19</vt:lpstr>
      <vt:lpstr>GMIC_22A_SCDPT1!SCDPT1_1829999999_20</vt:lpstr>
      <vt:lpstr>GMIC_22A_SCDPT1!SCDPT1_1829999999_7</vt:lpstr>
      <vt:lpstr>GMIC_22A_SCDPT1!SCDPT1_1829999999_9</vt:lpstr>
      <vt:lpstr>GMIC_22A_SCDPT1!SCDPT1_182BEGINNG_1</vt:lpstr>
      <vt:lpstr>GMIC_22A_SCDPT1!SCDPT1_182BEGINNG_10</vt:lpstr>
      <vt:lpstr>GMIC_22A_SCDPT1!SCDPT1_182BEGINNG_11</vt:lpstr>
      <vt:lpstr>GMIC_22A_SCDPT1!SCDPT1_182BEGINNG_12</vt:lpstr>
      <vt:lpstr>GMIC_22A_SCDPT1!SCDPT1_182BEGINNG_13</vt:lpstr>
      <vt:lpstr>GMIC_22A_SCDPT1!SCDPT1_182BEGINNG_14</vt:lpstr>
      <vt:lpstr>GMIC_22A_SCDPT1!SCDPT1_182BEGINNG_15</vt:lpstr>
      <vt:lpstr>GMIC_22A_SCDPT1!SCDPT1_182BEGINNG_16</vt:lpstr>
      <vt:lpstr>GMIC_22A_SCDPT1!SCDPT1_182BEGINNG_17</vt:lpstr>
      <vt:lpstr>GMIC_22A_SCDPT1!SCDPT1_182BEGINNG_18</vt:lpstr>
      <vt:lpstr>GMIC_22A_SCDPT1!SCDPT1_182BEGINNG_19</vt:lpstr>
      <vt:lpstr>GMIC_22A_SCDPT1!SCDPT1_182BEGINNG_2</vt:lpstr>
      <vt:lpstr>GMIC_22A_SCDPT1!SCDPT1_182BEGINNG_20</vt:lpstr>
      <vt:lpstr>GMIC_22A_SCDPT1!SCDPT1_182BEGINNG_21</vt:lpstr>
      <vt:lpstr>GMIC_22A_SCDPT1!SCDPT1_182BEGINNG_22</vt:lpstr>
      <vt:lpstr>GMIC_22A_SCDPT1!SCDPT1_182BEGINNG_23</vt:lpstr>
      <vt:lpstr>GMIC_22A_SCDPT1!SCDPT1_182BEGINNG_24</vt:lpstr>
      <vt:lpstr>GMIC_22A_SCDPT1!SCDPT1_182BEGINNG_25</vt:lpstr>
      <vt:lpstr>GMIC_22A_SCDPT1!SCDPT1_182BEGINNG_26</vt:lpstr>
      <vt:lpstr>GMIC_22A_SCDPT1!SCDPT1_182BEGINNG_27</vt:lpstr>
      <vt:lpstr>GMIC_22A_SCDPT1!SCDPT1_182BEGINNG_28</vt:lpstr>
      <vt:lpstr>GMIC_22A_SCDPT1!SCDPT1_182BEGINNG_29</vt:lpstr>
      <vt:lpstr>GMIC_22A_SCDPT1!SCDPT1_182BEGINNG_3</vt:lpstr>
      <vt:lpstr>GMIC_22A_SCDPT1!SCDPT1_182BEGINNG_30</vt:lpstr>
      <vt:lpstr>GMIC_22A_SCDPT1!SCDPT1_182BEGINNG_31</vt:lpstr>
      <vt:lpstr>GMIC_22A_SCDPT1!SCDPT1_182BEGINNG_32</vt:lpstr>
      <vt:lpstr>GMIC_22A_SCDPT1!SCDPT1_182BEGINNG_33</vt:lpstr>
      <vt:lpstr>GMIC_22A_SCDPT1!SCDPT1_182BEGINNG_34</vt:lpstr>
      <vt:lpstr>GMIC_22A_SCDPT1!SCDPT1_182BEGINNG_35</vt:lpstr>
      <vt:lpstr>GMIC_22A_SCDPT1!SCDPT1_182BEGINNG_36</vt:lpstr>
      <vt:lpstr>GMIC_22A_SCDPT1!SCDPT1_182BEGINNG_4</vt:lpstr>
      <vt:lpstr>GMIC_22A_SCDPT1!SCDPT1_182BEGINNG_5</vt:lpstr>
      <vt:lpstr>GMIC_22A_SCDPT1!SCDPT1_182BEGINNG_6.01</vt:lpstr>
      <vt:lpstr>GMIC_22A_SCDPT1!SCDPT1_182BEGINNG_6.02</vt:lpstr>
      <vt:lpstr>GMIC_22A_SCDPT1!SCDPT1_182BEGINNG_6.03</vt:lpstr>
      <vt:lpstr>GMIC_22A_SCDPT1!SCDPT1_182BEGINNG_7</vt:lpstr>
      <vt:lpstr>GMIC_22A_SCDPT1!SCDPT1_182BEGINNG_8</vt:lpstr>
      <vt:lpstr>GMIC_22A_SCDPT1!SCDPT1_182BEGINNG_9</vt:lpstr>
      <vt:lpstr>GMIC_22A_SCDPT1!SCDPT1_182ENDINGG_10</vt:lpstr>
      <vt:lpstr>GMIC_22A_SCDPT1!SCDPT1_182ENDINGG_11</vt:lpstr>
      <vt:lpstr>GMIC_22A_SCDPT1!SCDPT1_182ENDINGG_12</vt:lpstr>
      <vt:lpstr>GMIC_22A_SCDPT1!SCDPT1_182ENDINGG_13</vt:lpstr>
      <vt:lpstr>GMIC_22A_SCDPT1!SCDPT1_182ENDINGG_14</vt:lpstr>
      <vt:lpstr>GMIC_22A_SCDPT1!SCDPT1_182ENDINGG_15</vt:lpstr>
      <vt:lpstr>GMIC_22A_SCDPT1!SCDPT1_182ENDINGG_16</vt:lpstr>
      <vt:lpstr>GMIC_22A_SCDPT1!SCDPT1_182ENDINGG_17</vt:lpstr>
      <vt:lpstr>GMIC_22A_SCDPT1!SCDPT1_182ENDINGG_18</vt:lpstr>
      <vt:lpstr>GMIC_22A_SCDPT1!SCDPT1_182ENDINGG_19</vt:lpstr>
      <vt:lpstr>GMIC_22A_SCDPT1!SCDPT1_182ENDINGG_2</vt:lpstr>
      <vt:lpstr>GMIC_22A_SCDPT1!SCDPT1_182ENDINGG_20</vt:lpstr>
      <vt:lpstr>GMIC_22A_SCDPT1!SCDPT1_182ENDINGG_21</vt:lpstr>
      <vt:lpstr>GMIC_22A_SCDPT1!SCDPT1_182ENDINGG_22</vt:lpstr>
      <vt:lpstr>GMIC_22A_SCDPT1!SCDPT1_182ENDINGG_23</vt:lpstr>
      <vt:lpstr>GMIC_22A_SCDPT1!SCDPT1_182ENDINGG_24</vt:lpstr>
      <vt:lpstr>GMIC_22A_SCDPT1!SCDPT1_182ENDINGG_25</vt:lpstr>
      <vt:lpstr>GMIC_22A_SCDPT1!SCDPT1_182ENDINGG_26</vt:lpstr>
      <vt:lpstr>GMIC_22A_SCDPT1!SCDPT1_182ENDINGG_27</vt:lpstr>
      <vt:lpstr>GMIC_22A_SCDPT1!SCDPT1_182ENDINGG_28</vt:lpstr>
      <vt:lpstr>GMIC_22A_SCDPT1!SCDPT1_182ENDINGG_29</vt:lpstr>
      <vt:lpstr>GMIC_22A_SCDPT1!SCDPT1_182ENDINGG_3</vt:lpstr>
      <vt:lpstr>GMIC_22A_SCDPT1!SCDPT1_182ENDINGG_30</vt:lpstr>
      <vt:lpstr>GMIC_22A_SCDPT1!SCDPT1_182ENDINGG_31</vt:lpstr>
      <vt:lpstr>GMIC_22A_SCDPT1!SCDPT1_182ENDINGG_32</vt:lpstr>
      <vt:lpstr>GMIC_22A_SCDPT1!SCDPT1_182ENDINGG_33</vt:lpstr>
      <vt:lpstr>GMIC_22A_SCDPT1!SCDPT1_182ENDINGG_34</vt:lpstr>
      <vt:lpstr>GMIC_22A_SCDPT1!SCDPT1_182ENDINGG_35</vt:lpstr>
      <vt:lpstr>GMIC_22A_SCDPT1!SCDPT1_182ENDINGG_36</vt:lpstr>
      <vt:lpstr>GMIC_22A_SCDPT1!SCDPT1_182ENDINGG_4</vt:lpstr>
      <vt:lpstr>GMIC_22A_SCDPT1!SCDPT1_182ENDINGG_5</vt:lpstr>
      <vt:lpstr>GMIC_22A_SCDPT1!SCDPT1_182ENDINGG_6.01</vt:lpstr>
      <vt:lpstr>GMIC_22A_SCDPT1!SCDPT1_182ENDINGG_6.02</vt:lpstr>
      <vt:lpstr>GMIC_22A_SCDPT1!SCDPT1_182ENDINGG_6.03</vt:lpstr>
      <vt:lpstr>GMIC_22A_SCDPT1!SCDPT1_182ENDINGG_7</vt:lpstr>
      <vt:lpstr>GMIC_22A_SCDPT1!SCDPT1_182ENDINGG_8</vt:lpstr>
      <vt:lpstr>GMIC_22A_SCDPT1!SCDPT1_182ENDINGG_9</vt:lpstr>
      <vt:lpstr>GMIC_22A_SCDPT1!SCDPT1_1909999999_10</vt:lpstr>
      <vt:lpstr>GMIC_22A_SCDPT1!SCDPT1_1909999999_11</vt:lpstr>
      <vt:lpstr>GMIC_22A_SCDPT1!SCDPT1_1909999999_12</vt:lpstr>
      <vt:lpstr>GMIC_22A_SCDPT1!SCDPT1_1909999999_13</vt:lpstr>
      <vt:lpstr>GMIC_22A_SCDPT1!SCDPT1_1909999999_14</vt:lpstr>
      <vt:lpstr>GMIC_22A_SCDPT1!SCDPT1_1909999999_15</vt:lpstr>
      <vt:lpstr>GMIC_22A_SCDPT1!SCDPT1_1909999999_19</vt:lpstr>
      <vt:lpstr>GMIC_22A_SCDPT1!SCDPT1_1909999999_20</vt:lpstr>
      <vt:lpstr>GMIC_22A_SCDPT1!SCDPT1_1909999999_7</vt:lpstr>
      <vt:lpstr>GMIC_22A_SCDPT1!SCDPT1_1909999999_9</vt:lpstr>
      <vt:lpstr>GMIC_22A_SCDPT1!SCDPT1_2010000000_Range</vt:lpstr>
      <vt:lpstr>GMIC_22A_SCDPT1!SCDPT1_2019999999_10</vt:lpstr>
      <vt:lpstr>GMIC_22A_SCDPT1!SCDPT1_2019999999_11</vt:lpstr>
      <vt:lpstr>GMIC_22A_SCDPT1!SCDPT1_2019999999_12</vt:lpstr>
      <vt:lpstr>GMIC_22A_SCDPT1!SCDPT1_2019999999_13</vt:lpstr>
      <vt:lpstr>GMIC_22A_SCDPT1!SCDPT1_2019999999_14</vt:lpstr>
      <vt:lpstr>GMIC_22A_SCDPT1!SCDPT1_2019999999_15</vt:lpstr>
      <vt:lpstr>GMIC_22A_SCDPT1!SCDPT1_2019999999_19</vt:lpstr>
      <vt:lpstr>GMIC_22A_SCDPT1!SCDPT1_2019999999_20</vt:lpstr>
      <vt:lpstr>GMIC_22A_SCDPT1!SCDPT1_2019999999_7</vt:lpstr>
      <vt:lpstr>GMIC_22A_SCDPT1!SCDPT1_2019999999_9</vt:lpstr>
      <vt:lpstr>GMIC_22A_SCDPT1!SCDPT1_201BEGINNG_1</vt:lpstr>
      <vt:lpstr>GMIC_22A_SCDPT1!SCDPT1_201BEGINNG_10</vt:lpstr>
      <vt:lpstr>GMIC_22A_SCDPT1!SCDPT1_201BEGINNG_11</vt:lpstr>
      <vt:lpstr>GMIC_22A_SCDPT1!SCDPT1_201BEGINNG_12</vt:lpstr>
      <vt:lpstr>GMIC_22A_SCDPT1!SCDPT1_201BEGINNG_13</vt:lpstr>
      <vt:lpstr>GMIC_22A_SCDPT1!SCDPT1_201BEGINNG_14</vt:lpstr>
      <vt:lpstr>GMIC_22A_SCDPT1!SCDPT1_201BEGINNG_15</vt:lpstr>
      <vt:lpstr>GMIC_22A_SCDPT1!SCDPT1_201BEGINNG_16</vt:lpstr>
      <vt:lpstr>GMIC_22A_SCDPT1!SCDPT1_201BEGINNG_17</vt:lpstr>
      <vt:lpstr>GMIC_22A_SCDPT1!SCDPT1_201BEGINNG_18</vt:lpstr>
      <vt:lpstr>GMIC_22A_SCDPT1!SCDPT1_201BEGINNG_19</vt:lpstr>
      <vt:lpstr>GMIC_22A_SCDPT1!SCDPT1_201BEGINNG_2</vt:lpstr>
      <vt:lpstr>GMIC_22A_SCDPT1!SCDPT1_201BEGINNG_20</vt:lpstr>
      <vt:lpstr>GMIC_22A_SCDPT1!SCDPT1_201BEGINNG_21</vt:lpstr>
      <vt:lpstr>GMIC_22A_SCDPT1!SCDPT1_201BEGINNG_22</vt:lpstr>
      <vt:lpstr>GMIC_22A_SCDPT1!SCDPT1_201BEGINNG_23</vt:lpstr>
      <vt:lpstr>GMIC_22A_SCDPT1!SCDPT1_201BEGINNG_24</vt:lpstr>
      <vt:lpstr>GMIC_22A_SCDPT1!SCDPT1_201BEGINNG_25</vt:lpstr>
      <vt:lpstr>GMIC_22A_SCDPT1!SCDPT1_201BEGINNG_26</vt:lpstr>
      <vt:lpstr>GMIC_22A_SCDPT1!SCDPT1_201BEGINNG_27</vt:lpstr>
      <vt:lpstr>GMIC_22A_SCDPT1!SCDPT1_201BEGINNG_28</vt:lpstr>
      <vt:lpstr>GMIC_22A_SCDPT1!SCDPT1_201BEGINNG_29</vt:lpstr>
      <vt:lpstr>GMIC_22A_SCDPT1!SCDPT1_201BEGINNG_3</vt:lpstr>
      <vt:lpstr>GMIC_22A_SCDPT1!SCDPT1_201BEGINNG_30</vt:lpstr>
      <vt:lpstr>GMIC_22A_SCDPT1!SCDPT1_201BEGINNG_31</vt:lpstr>
      <vt:lpstr>GMIC_22A_SCDPT1!SCDPT1_201BEGINNG_32</vt:lpstr>
      <vt:lpstr>GMIC_22A_SCDPT1!SCDPT1_201BEGINNG_33</vt:lpstr>
      <vt:lpstr>GMIC_22A_SCDPT1!SCDPT1_201BEGINNG_34</vt:lpstr>
      <vt:lpstr>GMIC_22A_SCDPT1!SCDPT1_201BEGINNG_35</vt:lpstr>
      <vt:lpstr>GMIC_22A_SCDPT1!SCDPT1_201BEGINNG_36</vt:lpstr>
      <vt:lpstr>GMIC_22A_SCDPT1!SCDPT1_201BEGINNG_4</vt:lpstr>
      <vt:lpstr>GMIC_22A_SCDPT1!SCDPT1_201BEGINNG_5</vt:lpstr>
      <vt:lpstr>GMIC_22A_SCDPT1!SCDPT1_201BEGINNG_6.01</vt:lpstr>
      <vt:lpstr>GMIC_22A_SCDPT1!SCDPT1_201BEGINNG_6.02</vt:lpstr>
      <vt:lpstr>GMIC_22A_SCDPT1!SCDPT1_201BEGINNG_6.03</vt:lpstr>
      <vt:lpstr>GMIC_22A_SCDPT1!SCDPT1_201BEGINNG_7</vt:lpstr>
      <vt:lpstr>GMIC_22A_SCDPT1!SCDPT1_201BEGINNG_8</vt:lpstr>
      <vt:lpstr>GMIC_22A_SCDPT1!SCDPT1_201BEGINNG_9</vt:lpstr>
      <vt:lpstr>GMIC_22A_SCDPT1!SCDPT1_201ENDINGG_10</vt:lpstr>
      <vt:lpstr>GMIC_22A_SCDPT1!SCDPT1_201ENDINGG_11</vt:lpstr>
      <vt:lpstr>GMIC_22A_SCDPT1!SCDPT1_201ENDINGG_12</vt:lpstr>
      <vt:lpstr>GMIC_22A_SCDPT1!SCDPT1_201ENDINGG_13</vt:lpstr>
      <vt:lpstr>GMIC_22A_SCDPT1!SCDPT1_201ENDINGG_14</vt:lpstr>
      <vt:lpstr>GMIC_22A_SCDPT1!SCDPT1_201ENDINGG_15</vt:lpstr>
      <vt:lpstr>GMIC_22A_SCDPT1!SCDPT1_201ENDINGG_16</vt:lpstr>
      <vt:lpstr>GMIC_22A_SCDPT1!SCDPT1_201ENDINGG_17</vt:lpstr>
      <vt:lpstr>GMIC_22A_SCDPT1!SCDPT1_201ENDINGG_18</vt:lpstr>
      <vt:lpstr>GMIC_22A_SCDPT1!SCDPT1_201ENDINGG_19</vt:lpstr>
      <vt:lpstr>GMIC_22A_SCDPT1!SCDPT1_201ENDINGG_2</vt:lpstr>
      <vt:lpstr>GMIC_22A_SCDPT1!SCDPT1_201ENDINGG_20</vt:lpstr>
      <vt:lpstr>GMIC_22A_SCDPT1!SCDPT1_201ENDINGG_21</vt:lpstr>
      <vt:lpstr>GMIC_22A_SCDPT1!SCDPT1_201ENDINGG_22</vt:lpstr>
      <vt:lpstr>GMIC_22A_SCDPT1!SCDPT1_201ENDINGG_23</vt:lpstr>
      <vt:lpstr>GMIC_22A_SCDPT1!SCDPT1_201ENDINGG_24</vt:lpstr>
      <vt:lpstr>GMIC_22A_SCDPT1!SCDPT1_201ENDINGG_25</vt:lpstr>
      <vt:lpstr>GMIC_22A_SCDPT1!SCDPT1_201ENDINGG_26</vt:lpstr>
      <vt:lpstr>GMIC_22A_SCDPT1!SCDPT1_201ENDINGG_27</vt:lpstr>
      <vt:lpstr>GMIC_22A_SCDPT1!SCDPT1_201ENDINGG_28</vt:lpstr>
      <vt:lpstr>GMIC_22A_SCDPT1!SCDPT1_201ENDINGG_29</vt:lpstr>
      <vt:lpstr>GMIC_22A_SCDPT1!SCDPT1_201ENDINGG_3</vt:lpstr>
      <vt:lpstr>GMIC_22A_SCDPT1!SCDPT1_201ENDINGG_30</vt:lpstr>
      <vt:lpstr>GMIC_22A_SCDPT1!SCDPT1_201ENDINGG_31</vt:lpstr>
      <vt:lpstr>GMIC_22A_SCDPT1!SCDPT1_201ENDINGG_32</vt:lpstr>
      <vt:lpstr>GMIC_22A_SCDPT1!SCDPT1_201ENDINGG_33</vt:lpstr>
      <vt:lpstr>GMIC_22A_SCDPT1!SCDPT1_201ENDINGG_34</vt:lpstr>
      <vt:lpstr>GMIC_22A_SCDPT1!SCDPT1_201ENDINGG_35</vt:lpstr>
      <vt:lpstr>GMIC_22A_SCDPT1!SCDPT1_201ENDINGG_36</vt:lpstr>
      <vt:lpstr>GMIC_22A_SCDPT1!SCDPT1_201ENDINGG_4</vt:lpstr>
      <vt:lpstr>GMIC_22A_SCDPT1!SCDPT1_201ENDINGG_5</vt:lpstr>
      <vt:lpstr>GMIC_22A_SCDPT1!SCDPT1_201ENDINGG_6.01</vt:lpstr>
      <vt:lpstr>GMIC_22A_SCDPT1!SCDPT1_201ENDINGG_6.02</vt:lpstr>
      <vt:lpstr>GMIC_22A_SCDPT1!SCDPT1_201ENDINGG_6.03</vt:lpstr>
      <vt:lpstr>GMIC_22A_SCDPT1!SCDPT1_201ENDINGG_7</vt:lpstr>
      <vt:lpstr>GMIC_22A_SCDPT1!SCDPT1_201ENDINGG_8</vt:lpstr>
      <vt:lpstr>GMIC_22A_SCDPT1!SCDPT1_201ENDINGG_9</vt:lpstr>
      <vt:lpstr>GMIC_22A_SCDPT1!SCDPT1_2419999999_10</vt:lpstr>
      <vt:lpstr>GMIC_22A_SCDPT1!SCDPT1_2419999999_11</vt:lpstr>
      <vt:lpstr>GMIC_22A_SCDPT1!SCDPT1_2419999999_12</vt:lpstr>
      <vt:lpstr>GMIC_22A_SCDPT1!SCDPT1_2419999999_13</vt:lpstr>
      <vt:lpstr>GMIC_22A_SCDPT1!SCDPT1_2419999999_14</vt:lpstr>
      <vt:lpstr>GMIC_22A_SCDPT1!SCDPT1_2419999999_15</vt:lpstr>
      <vt:lpstr>GMIC_22A_SCDPT1!SCDPT1_2419999999_19</vt:lpstr>
      <vt:lpstr>GMIC_22A_SCDPT1!SCDPT1_2419999999_20</vt:lpstr>
      <vt:lpstr>GMIC_22A_SCDPT1!SCDPT1_2419999999_7</vt:lpstr>
      <vt:lpstr>GMIC_22A_SCDPT1!SCDPT1_2419999999_9</vt:lpstr>
      <vt:lpstr>GMIC_22A_SCDPT1!SCDPT1_2429999999_10</vt:lpstr>
      <vt:lpstr>GMIC_22A_SCDPT1!SCDPT1_2429999999_11</vt:lpstr>
      <vt:lpstr>GMIC_22A_SCDPT1!SCDPT1_2429999999_12</vt:lpstr>
      <vt:lpstr>GMIC_22A_SCDPT1!SCDPT1_2429999999_13</vt:lpstr>
      <vt:lpstr>GMIC_22A_SCDPT1!SCDPT1_2429999999_14</vt:lpstr>
      <vt:lpstr>GMIC_22A_SCDPT1!SCDPT1_2429999999_15</vt:lpstr>
      <vt:lpstr>GMIC_22A_SCDPT1!SCDPT1_2429999999_19</vt:lpstr>
      <vt:lpstr>GMIC_22A_SCDPT1!SCDPT1_2429999999_20</vt:lpstr>
      <vt:lpstr>GMIC_22A_SCDPT1!SCDPT1_2429999999_7</vt:lpstr>
      <vt:lpstr>GMIC_22A_SCDPT1!SCDPT1_2429999999_9</vt:lpstr>
      <vt:lpstr>GMIC_22A_SCDPT1!SCDPT1_2439999999_10</vt:lpstr>
      <vt:lpstr>GMIC_22A_SCDPT1!SCDPT1_2439999999_11</vt:lpstr>
      <vt:lpstr>GMIC_22A_SCDPT1!SCDPT1_2439999999_12</vt:lpstr>
      <vt:lpstr>GMIC_22A_SCDPT1!SCDPT1_2439999999_13</vt:lpstr>
      <vt:lpstr>GMIC_22A_SCDPT1!SCDPT1_2439999999_14</vt:lpstr>
      <vt:lpstr>GMIC_22A_SCDPT1!SCDPT1_2439999999_15</vt:lpstr>
      <vt:lpstr>GMIC_22A_SCDPT1!SCDPT1_2439999999_19</vt:lpstr>
      <vt:lpstr>GMIC_22A_SCDPT1!SCDPT1_2439999999_20</vt:lpstr>
      <vt:lpstr>GMIC_22A_SCDPT1!SCDPT1_2439999999_7</vt:lpstr>
      <vt:lpstr>GMIC_22A_SCDPT1!SCDPT1_2439999999_9</vt:lpstr>
      <vt:lpstr>GMIC_22A_SCDPT1!SCDPT1_2449999999_10</vt:lpstr>
      <vt:lpstr>GMIC_22A_SCDPT1!SCDPT1_2449999999_11</vt:lpstr>
      <vt:lpstr>GMIC_22A_SCDPT1!SCDPT1_2449999999_12</vt:lpstr>
      <vt:lpstr>GMIC_22A_SCDPT1!SCDPT1_2449999999_13</vt:lpstr>
      <vt:lpstr>GMIC_22A_SCDPT1!SCDPT1_2449999999_14</vt:lpstr>
      <vt:lpstr>GMIC_22A_SCDPT1!SCDPT1_2449999999_15</vt:lpstr>
      <vt:lpstr>GMIC_22A_SCDPT1!SCDPT1_2449999999_19</vt:lpstr>
      <vt:lpstr>GMIC_22A_SCDPT1!SCDPT1_2449999999_20</vt:lpstr>
      <vt:lpstr>GMIC_22A_SCDPT1!SCDPT1_2449999999_7</vt:lpstr>
      <vt:lpstr>GMIC_22A_SCDPT1!SCDPT1_2449999999_9</vt:lpstr>
      <vt:lpstr>GMIC_22A_SCDPT1!SCDPT1_2459999999_10</vt:lpstr>
      <vt:lpstr>GMIC_22A_SCDPT1!SCDPT1_2459999999_11</vt:lpstr>
      <vt:lpstr>GMIC_22A_SCDPT1!SCDPT1_2459999999_12</vt:lpstr>
      <vt:lpstr>GMIC_22A_SCDPT1!SCDPT1_2459999999_13</vt:lpstr>
      <vt:lpstr>GMIC_22A_SCDPT1!SCDPT1_2459999999_14</vt:lpstr>
      <vt:lpstr>GMIC_22A_SCDPT1!SCDPT1_2459999999_15</vt:lpstr>
      <vt:lpstr>GMIC_22A_SCDPT1!SCDPT1_2459999999_19</vt:lpstr>
      <vt:lpstr>GMIC_22A_SCDPT1!SCDPT1_2459999999_20</vt:lpstr>
      <vt:lpstr>GMIC_22A_SCDPT1!SCDPT1_2459999999_7</vt:lpstr>
      <vt:lpstr>GMIC_22A_SCDPT1!SCDPT1_2459999999_9</vt:lpstr>
      <vt:lpstr>GMIC_22A_SCDPT1!SCDPT1_2469999999_10</vt:lpstr>
      <vt:lpstr>GMIC_22A_SCDPT1!SCDPT1_2469999999_11</vt:lpstr>
      <vt:lpstr>GMIC_22A_SCDPT1!SCDPT1_2469999999_12</vt:lpstr>
      <vt:lpstr>GMIC_22A_SCDPT1!SCDPT1_2469999999_13</vt:lpstr>
      <vt:lpstr>GMIC_22A_SCDPT1!SCDPT1_2469999999_14</vt:lpstr>
      <vt:lpstr>GMIC_22A_SCDPT1!SCDPT1_2469999999_15</vt:lpstr>
      <vt:lpstr>GMIC_22A_SCDPT1!SCDPT1_2469999999_19</vt:lpstr>
      <vt:lpstr>GMIC_22A_SCDPT1!SCDPT1_2469999999_20</vt:lpstr>
      <vt:lpstr>GMIC_22A_SCDPT1!SCDPT1_2469999999_7</vt:lpstr>
      <vt:lpstr>GMIC_22A_SCDPT1!SCDPT1_2469999999_9</vt:lpstr>
      <vt:lpstr>GMIC_22A_SCDPT1!SCDPT1_2479999999_10</vt:lpstr>
      <vt:lpstr>GMIC_22A_SCDPT1!SCDPT1_2479999999_11</vt:lpstr>
      <vt:lpstr>GMIC_22A_SCDPT1!SCDPT1_2479999999_12</vt:lpstr>
      <vt:lpstr>GMIC_22A_SCDPT1!SCDPT1_2479999999_13</vt:lpstr>
      <vt:lpstr>GMIC_22A_SCDPT1!SCDPT1_2479999999_14</vt:lpstr>
      <vt:lpstr>GMIC_22A_SCDPT1!SCDPT1_2479999999_15</vt:lpstr>
      <vt:lpstr>GMIC_22A_SCDPT1!SCDPT1_2479999999_19</vt:lpstr>
      <vt:lpstr>GMIC_22A_SCDPT1!SCDPT1_2479999999_20</vt:lpstr>
      <vt:lpstr>GMIC_22A_SCDPT1!SCDPT1_2479999999_7</vt:lpstr>
      <vt:lpstr>GMIC_22A_SCDPT1!SCDPT1_2479999999_9</vt:lpstr>
      <vt:lpstr>GMIC_22A_SCDPT1!SCDPT1_2489999999_10</vt:lpstr>
      <vt:lpstr>GMIC_22A_SCDPT1!SCDPT1_2489999999_11</vt:lpstr>
      <vt:lpstr>GMIC_22A_SCDPT1!SCDPT1_2489999999_12</vt:lpstr>
      <vt:lpstr>GMIC_22A_SCDPT1!SCDPT1_2489999999_13</vt:lpstr>
      <vt:lpstr>GMIC_22A_SCDPT1!SCDPT1_2489999999_14</vt:lpstr>
      <vt:lpstr>GMIC_22A_SCDPT1!SCDPT1_2489999999_15</vt:lpstr>
      <vt:lpstr>GMIC_22A_SCDPT1!SCDPT1_2489999999_19</vt:lpstr>
      <vt:lpstr>GMIC_22A_SCDPT1!SCDPT1_2489999999_20</vt:lpstr>
      <vt:lpstr>GMIC_22A_SCDPT1!SCDPT1_2489999999_7</vt:lpstr>
      <vt:lpstr>GMIC_22A_SCDPT1!SCDPT1_2489999999_9</vt:lpstr>
      <vt:lpstr>GMIC_22A_SCDPT1!SCDPT1_2509999999_10</vt:lpstr>
      <vt:lpstr>GMIC_22A_SCDPT1!SCDPT1_2509999999_11</vt:lpstr>
      <vt:lpstr>GMIC_22A_SCDPT1!SCDPT1_2509999999_12</vt:lpstr>
      <vt:lpstr>GMIC_22A_SCDPT1!SCDPT1_2509999999_13</vt:lpstr>
      <vt:lpstr>GMIC_22A_SCDPT1!SCDPT1_2509999999_14</vt:lpstr>
      <vt:lpstr>GMIC_22A_SCDPT1!SCDPT1_2509999999_15</vt:lpstr>
      <vt:lpstr>GMIC_22A_SCDPT1!SCDPT1_2509999999_19</vt:lpstr>
      <vt:lpstr>GMIC_22A_SCDPT1!SCDPT1_2509999999_20</vt:lpstr>
      <vt:lpstr>GMIC_22A_SCDPT1!SCDPT1_2509999999_7</vt:lpstr>
      <vt:lpstr>GMIC_22A_SCDPT1!SCDPT1_2509999999_9</vt:lpstr>
      <vt:lpstr>GMIC_22A_SCDPT1F!SCDPT1F_000001A_1</vt:lpstr>
      <vt:lpstr>GMIC_22A_SCDPT1F!SCDPT1F_000001A_2</vt:lpstr>
      <vt:lpstr>GMIC_22A_SCDPT1F!SCDPT1F_000001A_3</vt:lpstr>
      <vt:lpstr>GMIC_22A_SCDPT1F!SCDPT1F_000001A_4</vt:lpstr>
      <vt:lpstr>GMIC_22A_SCDPT1F!SCDPT1F_000001A_5</vt:lpstr>
      <vt:lpstr>GMIC_22A_SCDPT1F!SCDPT1F_000001A_6</vt:lpstr>
      <vt:lpstr>GMIC_22A_SCDPT1F!SCDPT1F_000001A_7</vt:lpstr>
      <vt:lpstr>GMIC_22A_SCDPT1F!SCDPT1F_000001B_1</vt:lpstr>
      <vt:lpstr>GMIC_22A_SCDPT1F!SCDPT1F_000001B_2</vt:lpstr>
      <vt:lpstr>GMIC_22A_SCDPT1F!SCDPT1F_000001B_3</vt:lpstr>
      <vt:lpstr>GMIC_22A_SCDPT1F!SCDPT1F_000001C_1</vt:lpstr>
      <vt:lpstr>GMIC_22A_SCDPT1F!SCDPT1F_000001C_2</vt:lpstr>
      <vt:lpstr>GMIC_22A_SCDPT1F!SCDPT1F_000001C_3</vt:lpstr>
      <vt:lpstr>GMIC_22A_SCDPT1F!SCDPT1F_000001D_1</vt:lpstr>
      <vt:lpstr>GMIC_22A_SCDPT1F!SCDPT1F_000001D_2</vt:lpstr>
      <vt:lpstr>GMIC_22A_SCDPT1F!SCDPT1F_000001D_3</vt:lpstr>
      <vt:lpstr>GMIC_22A_SCDPT1F!SCDPT1F_000001E_1</vt:lpstr>
      <vt:lpstr>GMIC_22A_SCDPT1F!SCDPT1F_000001E_2</vt:lpstr>
      <vt:lpstr>GMIC_22A_SCDPT1F!SCDPT1F_000001E_3</vt:lpstr>
      <vt:lpstr>GMIC_22A_SCDPT1F!SCDPT1F_000001F_1</vt:lpstr>
      <vt:lpstr>GMIC_22A_SCDPT2SN1!SCDPT2SN1_4010000000_Range</vt:lpstr>
      <vt:lpstr>GMIC_22A_SCDPT2SN1!SCDPT2SN1_4019999999_10</vt:lpstr>
      <vt:lpstr>GMIC_22A_SCDPT2SN1!SCDPT2SN1_4019999999_11</vt:lpstr>
      <vt:lpstr>GMIC_22A_SCDPT2SN1!SCDPT2SN1_4019999999_12</vt:lpstr>
      <vt:lpstr>GMIC_22A_SCDPT2SN1!SCDPT2SN1_4019999999_13</vt:lpstr>
      <vt:lpstr>GMIC_22A_SCDPT2SN1!SCDPT2SN1_4019999999_14</vt:lpstr>
      <vt:lpstr>GMIC_22A_SCDPT2SN1!SCDPT2SN1_4019999999_15</vt:lpstr>
      <vt:lpstr>GMIC_22A_SCDPT2SN1!SCDPT2SN1_4019999999_16</vt:lpstr>
      <vt:lpstr>GMIC_22A_SCDPT2SN1!SCDPT2SN1_4019999999_17</vt:lpstr>
      <vt:lpstr>GMIC_22A_SCDPT2SN1!SCDPT2SN1_4019999999_18</vt:lpstr>
      <vt:lpstr>GMIC_22A_SCDPT2SN1!SCDPT2SN1_4019999999_19</vt:lpstr>
      <vt:lpstr>GMIC_22A_SCDPT2SN1!SCDPT2SN1_4019999999_8</vt:lpstr>
      <vt:lpstr>GMIC_22A_SCDPT2SN1!SCDPT2SN1_401BEGINNG_1</vt:lpstr>
      <vt:lpstr>GMIC_22A_SCDPT2SN1!SCDPT2SN1_401BEGINNG_10</vt:lpstr>
      <vt:lpstr>GMIC_22A_SCDPT2SN1!SCDPT2SN1_401BEGINNG_11</vt:lpstr>
      <vt:lpstr>GMIC_22A_SCDPT2SN1!SCDPT2SN1_401BEGINNG_12</vt:lpstr>
      <vt:lpstr>GMIC_22A_SCDPT2SN1!SCDPT2SN1_401BEGINNG_13</vt:lpstr>
      <vt:lpstr>GMIC_22A_SCDPT2SN1!SCDPT2SN1_401BEGINNG_14</vt:lpstr>
      <vt:lpstr>GMIC_22A_SCDPT2SN1!SCDPT2SN1_401BEGINNG_15</vt:lpstr>
      <vt:lpstr>GMIC_22A_SCDPT2SN1!SCDPT2SN1_401BEGINNG_16</vt:lpstr>
      <vt:lpstr>GMIC_22A_SCDPT2SN1!SCDPT2SN1_401BEGINNG_17</vt:lpstr>
      <vt:lpstr>GMIC_22A_SCDPT2SN1!SCDPT2SN1_401BEGINNG_18</vt:lpstr>
      <vt:lpstr>GMIC_22A_SCDPT2SN1!SCDPT2SN1_401BEGINNG_19</vt:lpstr>
      <vt:lpstr>GMIC_22A_SCDPT2SN1!SCDPT2SN1_401BEGINNG_2</vt:lpstr>
      <vt:lpstr>GMIC_22A_SCDPT2SN1!SCDPT2SN1_401BEGINNG_20.01</vt:lpstr>
      <vt:lpstr>GMIC_22A_SCDPT2SN1!SCDPT2SN1_401BEGINNG_20.02</vt:lpstr>
      <vt:lpstr>GMIC_22A_SCDPT2SN1!SCDPT2SN1_401BEGINNG_20.03</vt:lpstr>
      <vt:lpstr>GMIC_22A_SCDPT2SN1!SCDPT2SN1_401BEGINNG_21</vt:lpstr>
      <vt:lpstr>GMIC_22A_SCDPT2SN1!SCDPT2SN1_401BEGINNG_22</vt:lpstr>
      <vt:lpstr>GMIC_22A_SCDPT2SN1!SCDPT2SN1_401BEGINNG_23</vt:lpstr>
      <vt:lpstr>GMIC_22A_SCDPT2SN1!SCDPT2SN1_401BEGINNG_24</vt:lpstr>
      <vt:lpstr>GMIC_22A_SCDPT2SN1!SCDPT2SN1_401BEGINNG_25</vt:lpstr>
      <vt:lpstr>GMIC_22A_SCDPT2SN1!SCDPT2SN1_401BEGINNG_26</vt:lpstr>
      <vt:lpstr>GMIC_22A_SCDPT2SN1!SCDPT2SN1_401BEGINNG_27</vt:lpstr>
      <vt:lpstr>GMIC_22A_SCDPT2SN1!SCDPT2SN1_401BEGINNG_28</vt:lpstr>
      <vt:lpstr>GMIC_22A_SCDPT2SN1!SCDPT2SN1_401BEGINNG_29</vt:lpstr>
      <vt:lpstr>GMIC_22A_SCDPT2SN1!SCDPT2SN1_401BEGINNG_3</vt:lpstr>
      <vt:lpstr>GMIC_22A_SCDPT2SN1!SCDPT2SN1_401BEGINNG_4</vt:lpstr>
      <vt:lpstr>GMIC_22A_SCDPT2SN1!SCDPT2SN1_401BEGINNG_5</vt:lpstr>
      <vt:lpstr>GMIC_22A_SCDPT2SN1!SCDPT2SN1_401BEGINNG_6</vt:lpstr>
      <vt:lpstr>GMIC_22A_SCDPT2SN1!SCDPT2SN1_401BEGINNG_7</vt:lpstr>
      <vt:lpstr>GMIC_22A_SCDPT2SN1!SCDPT2SN1_401BEGINNG_8</vt:lpstr>
      <vt:lpstr>GMIC_22A_SCDPT2SN1!SCDPT2SN1_401BEGINNG_9</vt:lpstr>
      <vt:lpstr>GMIC_22A_SCDPT2SN1!SCDPT2SN1_401ENDINGG_10</vt:lpstr>
      <vt:lpstr>GMIC_22A_SCDPT2SN1!SCDPT2SN1_401ENDINGG_11</vt:lpstr>
      <vt:lpstr>GMIC_22A_SCDPT2SN1!SCDPT2SN1_401ENDINGG_12</vt:lpstr>
      <vt:lpstr>GMIC_22A_SCDPT2SN1!SCDPT2SN1_401ENDINGG_13</vt:lpstr>
      <vt:lpstr>GMIC_22A_SCDPT2SN1!SCDPT2SN1_401ENDINGG_14</vt:lpstr>
      <vt:lpstr>GMIC_22A_SCDPT2SN1!SCDPT2SN1_401ENDINGG_15</vt:lpstr>
      <vt:lpstr>GMIC_22A_SCDPT2SN1!SCDPT2SN1_401ENDINGG_16</vt:lpstr>
      <vt:lpstr>GMIC_22A_SCDPT2SN1!SCDPT2SN1_401ENDINGG_17</vt:lpstr>
      <vt:lpstr>GMIC_22A_SCDPT2SN1!SCDPT2SN1_401ENDINGG_18</vt:lpstr>
      <vt:lpstr>GMIC_22A_SCDPT2SN1!SCDPT2SN1_401ENDINGG_19</vt:lpstr>
      <vt:lpstr>GMIC_22A_SCDPT2SN1!SCDPT2SN1_401ENDINGG_2</vt:lpstr>
      <vt:lpstr>GMIC_22A_SCDPT2SN1!SCDPT2SN1_401ENDINGG_20.01</vt:lpstr>
      <vt:lpstr>GMIC_22A_SCDPT2SN1!SCDPT2SN1_401ENDINGG_20.02</vt:lpstr>
      <vt:lpstr>GMIC_22A_SCDPT2SN1!SCDPT2SN1_401ENDINGG_20.03</vt:lpstr>
      <vt:lpstr>GMIC_22A_SCDPT2SN1!SCDPT2SN1_401ENDINGG_21</vt:lpstr>
      <vt:lpstr>GMIC_22A_SCDPT2SN1!SCDPT2SN1_401ENDINGG_22</vt:lpstr>
      <vt:lpstr>GMIC_22A_SCDPT2SN1!SCDPT2SN1_401ENDINGG_23</vt:lpstr>
      <vt:lpstr>GMIC_22A_SCDPT2SN1!SCDPT2SN1_401ENDINGG_24</vt:lpstr>
      <vt:lpstr>GMIC_22A_SCDPT2SN1!SCDPT2SN1_401ENDINGG_25</vt:lpstr>
      <vt:lpstr>GMIC_22A_SCDPT2SN1!SCDPT2SN1_401ENDINGG_26</vt:lpstr>
      <vt:lpstr>GMIC_22A_SCDPT2SN1!SCDPT2SN1_401ENDINGG_27</vt:lpstr>
      <vt:lpstr>GMIC_22A_SCDPT2SN1!SCDPT2SN1_401ENDINGG_28</vt:lpstr>
      <vt:lpstr>GMIC_22A_SCDPT2SN1!SCDPT2SN1_401ENDINGG_29</vt:lpstr>
      <vt:lpstr>GMIC_22A_SCDPT2SN1!SCDPT2SN1_401ENDINGG_3</vt:lpstr>
      <vt:lpstr>GMIC_22A_SCDPT2SN1!SCDPT2SN1_401ENDINGG_4</vt:lpstr>
      <vt:lpstr>GMIC_22A_SCDPT2SN1!SCDPT2SN1_401ENDINGG_5</vt:lpstr>
      <vt:lpstr>GMIC_22A_SCDPT2SN1!SCDPT2SN1_401ENDINGG_6</vt:lpstr>
      <vt:lpstr>GMIC_22A_SCDPT2SN1!SCDPT2SN1_401ENDINGG_7</vt:lpstr>
      <vt:lpstr>GMIC_22A_SCDPT2SN1!SCDPT2SN1_401ENDINGG_8</vt:lpstr>
      <vt:lpstr>GMIC_22A_SCDPT2SN1!SCDPT2SN1_401ENDINGG_9</vt:lpstr>
      <vt:lpstr>GMIC_22A_SCDPT2SN1!SCDPT2SN1_4020000000_Range</vt:lpstr>
      <vt:lpstr>GMIC_22A_SCDPT2SN1!SCDPT2SN1_4029999999_10</vt:lpstr>
      <vt:lpstr>GMIC_22A_SCDPT2SN1!SCDPT2SN1_4029999999_11</vt:lpstr>
      <vt:lpstr>GMIC_22A_SCDPT2SN1!SCDPT2SN1_4029999999_12</vt:lpstr>
      <vt:lpstr>GMIC_22A_SCDPT2SN1!SCDPT2SN1_4029999999_13</vt:lpstr>
      <vt:lpstr>GMIC_22A_SCDPT2SN1!SCDPT2SN1_4029999999_14</vt:lpstr>
      <vt:lpstr>GMIC_22A_SCDPT2SN1!SCDPT2SN1_4029999999_15</vt:lpstr>
      <vt:lpstr>GMIC_22A_SCDPT2SN1!SCDPT2SN1_4029999999_16</vt:lpstr>
      <vt:lpstr>GMIC_22A_SCDPT2SN1!SCDPT2SN1_4029999999_17</vt:lpstr>
      <vt:lpstr>GMIC_22A_SCDPT2SN1!SCDPT2SN1_4029999999_18</vt:lpstr>
      <vt:lpstr>GMIC_22A_SCDPT2SN1!SCDPT2SN1_4029999999_19</vt:lpstr>
      <vt:lpstr>GMIC_22A_SCDPT2SN1!SCDPT2SN1_4029999999_8</vt:lpstr>
      <vt:lpstr>GMIC_22A_SCDPT2SN1!SCDPT2SN1_402BEGINNG_1</vt:lpstr>
      <vt:lpstr>GMIC_22A_SCDPT2SN1!SCDPT2SN1_402BEGINNG_10</vt:lpstr>
      <vt:lpstr>GMIC_22A_SCDPT2SN1!SCDPT2SN1_402BEGINNG_11</vt:lpstr>
      <vt:lpstr>GMIC_22A_SCDPT2SN1!SCDPT2SN1_402BEGINNG_12</vt:lpstr>
      <vt:lpstr>GMIC_22A_SCDPT2SN1!SCDPT2SN1_402BEGINNG_13</vt:lpstr>
      <vt:lpstr>GMIC_22A_SCDPT2SN1!SCDPT2SN1_402BEGINNG_14</vt:lpstr>
      <vt:lpstr>GMIC_22A_SCDPT2SN1!SCDPT2SN1_402BEGINNG_15</vt:lpstr>
      <vt:lpstr>GMIC_22A_SCDPT2SN1!SCDPT2SN1_402BEGINNG_16</vt:lpstr>
      <vt:lpstr>GMIC_22A_SCDPT2SN1!SCDPT2SN1_402BEGINNG_17</vt:lpstr>
      <vt:lpstr>GMIC_22A_SCDPT2SN1!SCDPT2SN1_402BEGINNG_18</vt:lpstr>
      <vt:lpstr>GMIC_22A_SCDPT2SN1!SCDPT2SN1_402BEGINNG_19</vt:lpstr>
      <vt:lpstr>GMIC_22A_SCDPT2SN1!SCDPT2SN1_402BEGINNG_2</vt:lpstr>
      <vt:lpstr>GMIC_22A_SCDPT2SN1!SCDPT2SN1_402BEGINNG_20.01</vt:lpstr>
      <vt:lpstr>GMIC_22A_SCDPT2SN1!SCDPT2SN1_402BEGINNG_20.02</vt:lpstr>
      <vt:lpstr>GMIC_22A_SCDPT2SN1!SCDPT2SN1_402BEGINNG_20.03</vt:lpstr>
      <vt:lpstr>GMIC_22A_SCDPT2SN1!SCDPT2SN1_402BEGINNG_21</vt:lpstr>
      <vt:lpstr>GMIC_22A_SCDPT2SN1!SCDPT2SN1_402BEGINNG_22</vt:lpstr>
      <vt:lpstr>GMIC_22A_SCDPT2SN1!SCDPT2SN1_402BEGINNG_23</vt:lpstr>
      <vt:lpstr>GMIC_22A_SCDPT2SN1!SCDPT2SN1_402BEGINNG_24</vt:lpstr>
      <vt:lpstr>GMIC_22A_SCDPT2SN1!SCDPT2SN1_402BEGINNG_25</vt:lpstr>
      <vt:lpstr>GMIC_22A_SCDPT2SN1!SCDPT2SN1_402BEGINNG_26</vt:lpstr>
      <vt:lpstr>GMIC_22A_SCDPT2SN1!SCDPT2SN1_402BEGINNG_27</vt:lpstr>
      <vt:lpstr>GMIC_22A_SCDPT2SN1!SCDPT2SN1_402BEGINNG_28</vt:lpstr>
      <vt:lpstr>GMIC_22A_SCDPT2SN1!SCDPT2SN1_402BEGINNG_29</vt:lpstr>
      <vt:lpstr>GMIC_22A_SCDPT2SN1!SCDPT2SN1_402BEGINNG_3</vt:lpstr>
      <vt:lpstr>GMIC_22A_SCDPT2SN1!SCDPT2SN1_402BEGINNG_4</vt:lpstr>
      <vt:lpstr>GMIC_22A_SCDPT2SN1!SCDPT2SN1_402BEGINNG_5</vt:lpstr>
      <vt:lpstr>GMIC_22A_SCDPT2SN1!SCDPT2SN1_402BEGINNG_6</vt:lpstr>
      <vt:lpstr>GMIC_22A_SCDPT2SN1!SCDPT2SN1_402BEGINNG_7</vt:lpstr>
      <vt:lpstr>GMIC_22A_SCDPT2SN1!SCDPT2SN1_402BEGINNG_8</vt:lpstr>
      <vt:lpstr>GMIC_22A_SCDPT2SN1!SCDPT2SN1_402BEGINNG_9</vt:lpstr>
      <vt:lpstr>GMIC_22A_SCDPT2SN1!SCDPT2SN1_402ENDINGG_10</vt:lpstr>
      <vt:lpstr>GMIC_22A_SCDPT2SN1!SCDPT2SN1_402ENDINGG_11</vt:lpstr>
      <vt:lpstr>GMIC_22A_SCDPT2SN1!SCDPT2SN1_402ENDINGG_12</vt:lpstr>
      <vt:lpstr>GMIC_22A_SCDPT2SN1!SCDPT2SN1_402ENDINGG_13</vt:lpstr>
      <vt:lpstr>GMIC_22A_SCDPT2SN1!SCDPT2SN1_402ENDINGG_14</vt:lpstr>
      <vt:lpstr>GMIC_22A_SCDPT2SN1!SCDPT2SN1_402ENDINGG_15</vt:lpstr>
      <vt:lpstr>GMIC_22A_SCDPT2SN1!SCDPT2SN1_402ENDINGG_16</vt:lpstr>
      <vt:lpstr>GMIC_22A_SCDPT2SN1!SCDPT2SN1_402ENDINGG_17</vt:lpstr>
      <vt:lpstr>GMIC_22A_SCDPT2SN1!SCDPT2SN1_402ENDINGG_18</vt:lpstr>
      <vt:lpstr>GMIC_22A_SCDPT2SN1!SCDPT2SN1_402ENDINGG_19</vt:lpstr>
      <vt:lpstr>GMIC_22A_SCDPT2SN1!SCDPT2SN1_402ENDINGG_2</vt:lpstr>
      <vt:lpstr>GMIC_22A_SCDPT2SN1!SCDPT2SN1_402ENDINGG_20.01</vt:lpstr>
      <vt:lpstr>GMIC_22A_SCDPT2SN1!SCDPT2SN1_402ENDINGG_20.02</vt:lpstr>
      <vt:lpstr>GMIC_22A_SCDPT2SN1!SCDPT2SN1_402ENDINGG_20.03</vt:lpstr>
      <vt:lpstr>GMIC_22A_SCDPT2SN1!SCDPT2SN1_402ENDINGG_21</vt:lpstr>
      <vt:lpstr>GMIC_22A_SCDPT2SN1!SCDPT2SN1_402ENDINGG_22</vt:lpstr>
      <vt:lpstr>GMIC_22A_SCDPT2SN1!SCDPT2SN1_402ENDINGG_23</vt:lpstr>
      <vt:lpstr>GMIC_22A_SCDPT2SN1!SCDPT2SN1_402ENDINGG_24</vt:lpstr>
      <vt:lpstr>GMIC_22A_SCDPT2SN1!SCDPT2SN1_402ENDINGG_25</vt:lpstr>
      <vt:lpstr>GMIC_22A_SCDPT2SN1!SCDPT2SN1_402ENDINGG_26</vt:lpstr>
      <vt:lpstr>GMIC_22A_SCDPT2SN1!SCDPT2SN1_402ENDINGG_27</vt:lpstr>
      <vt:lpstr>GMIC_22A_SCDPT2SN1!SCDPT2SN1_402ENDINGG_28</vt:lpstr>
      <vt:lpstr>GMIC_22A_SCDPT2SN1!SCDPT2SN1_402ENDINGG_29</vt:lpstr>
      <vt:lpstr>GMIC_22A_SCDPT2SN1!SCDPT2SN1_402ENDINGG_3</vt:lpstr>
      <vt:lpstr>GMIC_22A_SCDPT2SN1!SCDPT2SN1_402ENDINGG_4</vt:lpstr>
      <vt:lpstr>GMIC_22A_SCDPT2SN1!SCDPT2SN1_402ENDINGG_5</vt:lpstr>
      <vt:lpstr>GMIC_22A_SCDPT2SN1!SCDPT2SN1_402ENDINGG_6</vt:lpstr>
      <vt:lpstr>GMIC_22A_SCDPT2SN1!SCDPT2SN1_402ENDINGG_7</vt:lpstr>
      <vt:lpstr>GMIC_22A_SCDPT2SN1!SCDPT2SN1_402ENDINGG_8</vt:lpstr>
      <vt:lpstr>GMIC_22A_SCDPT2SN1!SCDPT2SN1_402ENDINGG_9</vt:lpstr>
      <vt:lpstr>GMIC_22A_SCDPT2SN1!SCDPT2SN1_4109999999_10</vt:lpstr>
      <vt:lpstr>GMIC_22A_SCDPT2SN1!SCDPT2SN1_4109999999_11</vt:lpstr>
      <vt:lpstr>GMIC_22A_SCDPT2SN1!SCDPT2SN1_4109999999_12</vt:lpstr>
      <vt:lpstr>GMIC_22A_SCDPT2SN1!SCDPT2SN1_4109999999_13</vt:lpstr>
      <vt:lpstr>GMIC_22A_SCDPT2SN1!SCDPT2SN1_4109999999_14</vt:lpstr>
      <vt:lpstr>GMIC_22A_SCDPT2SN1!SCDPT2SN1_4109999999_15</vt:lpstr>
      <vt:lpstr>GMIC_22A_SCDPT2SN1!SCDPT2SN1_4109999999_16</vt:lpstr>
      <vt:lpstr>GMIC_22A_SCDPT2SN1!SCDPT2SN1_4109999999_17</vt:lpstr>
      <vt:lpstr>GMIC_22A_SCDPT2SN1!SCDPT2SN1_4109999999_18</vt:lpstr>
      <vt:lpstr>GMIC_22A_SCDPT2SN1!SCDPT2SN1_4109999999_19</vt:lpstr>
      <vt:lpstr>GMIC_22A_SCDPT2SN1!SCDPT2SN1_4109999999_8</vt:lpstr>
      <vt:lpstr>GMIC_22A_SCDPT2SN1!SCDPT2SN1_4310000000_Range</vt:lpstr>
      <vt:lpstr>GMIC_22A_SCDPT2SN1!SCDPT2SN1_4319999999_10</vt:lpstr>
      <vt:lpstr>GMIC_22A_SCDPT2SN1!SCDPT2SN1_4319999999_11</vt:lpstr>
      <vt:lpstr>GMIC_22A_SCDPT2SN1!SCDPT2SN1_4319999999_12</vt:lpstr>
      <vt:lpstr>GMIC_22A_SCDPT2SN1!SCDPT2SN1_4319999999_13</vt:lpstr>
      <vt:lpstr>GMIC_22A_SCDPT2SN1!SCDPT2SN1_4319999999_14</vt:lpstr>
      <vt:lpstr>GMIC_22A_SCDPT2SN1!SCDPT2SN1_4319999999_15</vt:lpstr>
      <vt:lpstr>GMIC_22A_SCDPT2SN1!SCDPT2SN1_4319999999_16</vt:lpstr>
      <vt:lpstr>GMIC_22A_SCDPT2SN1!SCDPT2SN1_4319999999_17</vt:lpstr>
      <vt:lpstr>GMIC_22A_SCDPT2SN1!SCDPT2SN1_4319999999_18</vt:lpstr>
      <vt:lpstr>GMIC_22A_SCDPT2SN1!SCDPT2SN1_4319999999_19</vt:lpstr>
      <vt:lpstr>GMIC_22A_SCDPT2SN1!SCDPT2SN1_4319999999_8</vt:lpstr>
      <vt:lpstr>GMIC_22A_SCDPT2SN1!SCDPT2SN1_431BEGINNG_1</vt:lpstr>
      <vt:lpstr>GMIC_22A_SCDPT2SN1!SCDPT2SN1_431BEGINNG_10</vt:lpstr>
      <vt:lpstr>GMIC_22A_SCDPT2SN1!SCDPT2SN1_431BEGINNG_11</vt:lpstr>
      <vt:lpstr>GMIC_22A_SCDPT2SN1!SCDPT2SN1_431BEGINNG_12</vt:lpstr>
      <vt:lpstr>GMIC_22A_SCDPT2SN1!SCDPT2SN1_431BEGINNG_13</vt:lpstr>
      <vt:lpstr>GMIC_22A_SCDPT2SN1!SCDPT2SN1_431BEGINNG_14</vt:lpstr>
      <vt:lpstr>GMIC_22A_SCDPT2SN1!SCDPT2SN1_431BEGINNG_15</vt:lpstr>
      <vt:lpstr>GMIC_22A_SCDPT2SN1!SCDPT2SN1_431BEGINNG_16</vt:lpstr>
      <vt:lpstr>GMIC_22A_SCDPT2SN1!SCDPT2SN1_431BEGINNG_17</vt:lpstr>
      <vt:lpstr>GMIC_22A_SCDPT2SN1!SCDPT2SN1_431BEGINNG_18</vt:lpstr>
      <vt:lpstr>GMIC_22A_SCDPT2SN1!SCDPT2SN1_431BEGINNG_19</vt:lpstr>
      <vt:lpstr>GMIC_22A_SCDPT2SN1!SCDPT2SN1_431BEGINNG_2</vt:lpstr>
      <vt:lpstr>GMIC_22A_SCDPT2SN1!SCDPT2SN1_431BEGINNG_20.01</vt:lpstr>
      <vt:lpstr>GMIC_22A_SCDPT2SN1!SCDPT2SN1_431BEGINNG_20.02</vt:lpstr>
      <vt:lpstr>GMIC_22A_SCDPT2SN1!SCDPT2SN1_431BEGINNG_20.03</vt:lpstr>
      <vt:lpstr>GMIC_22A_SCDPT2SN1!SCDPT2SN1_431BEGINNG_21</vt:lpstr>
      <vt:lpstr>GMIC_22A_SCDPT2SN1!SCDPT2SN1_431BEGINNG_22</vt:lpstr>
      <vt:lpstr>GMIC_22A_SCDPT2SN1!SCDPT2SN1_431BEGINNG_23</vt:lpstr>
      <vt:lpstr>GMIC_22A_SCDPT2SN1!SCDPT2SN1_431BEGINNG_24</vt:lpstr>
      <vt:lpstr>GMIC_22A_SCDPT2SN1!SCDPT2SN1_431BEGINNG_25</vt:lpstr>
      <vt:lpstr>GMIC_22A_SCDPT2SN1!SCDPT2SN1_431BEGINNG_26</vt:lpstr>
      <vt:lpstr>GMIC_22A_SCDPT2SN1!SCDPT2SN1_431BEGINNG_27</vt:lpstr>
      <vt:lpstr>GMIC_22A_SCDPT2SN1!SCDPT2SN1_431BEGINNG_28</vt:lpstr>
      <vt:lpstr>GMIC_22A_SCDPT2SN1!SCDPT2SN1_431BEGINNG_29</vt:lpstr>
      <vt:lpstr>GMIC_22A_SCDPT2SN1!SCDPT2SN1_431BEGINNG_3</vt:lpstr>
      <vt:lpstr>GMIC_22A_SCDPT2SN1!SCDPT2SN1_431BEGINNG_4</vt:lpstr>
      <vt:lpstr>GMIC_22A_SCDPT2SN1!SCDPT2SN1_431BEGINNG_5</vt:lpstr>
      <vt:lpstr>GMIC_22A_SCDPT2SN1!SCDPT2SN1_431BEGINNG_6</vt:lpstr>
      <vt:lpstr>GMIC_22A_SCDPT2SN1!SCDPT2SN1_431BEGINNG_7</vt:lpstr>
      <vt:lpstr>GMIC_22A_SCDPT2SN1!SCDPT2SN1_431BEGINNG_8</vt:lpstr>
      <vt:lpstr>GMIC_22A_SCDPT2SN1!SCDPT2SN1_431BEGINNG_9</vt:lpstr>
      <vt:lpstr>GMIC_22A_SCDPT2SN1!SCDPT2SN1_431ENDINGG_10</vt:lpstr>
      <vt:lpstr>GMIC_22A_SCDPT2SN1!SCDPT2SN1_431ENDINGG_11</vt:lpstr>
      <vt:lpstr>GMIC_22A_SCDPT2SN1!SCDPT2SN1_431ENDINGG_12</vt:lpstr>
      <vt:lpstr>GMIC_22A_SCDPT2SN1!SCDPT2SN1_431ENDINGG_13</vt:lpstr>
      <vt:lpstr>GMIC_22A_SCDPT2SN1!SCDPT2SN1_431ENDINGG_14</vt:lpstr>
      <vt:lpstr>GMIC_22A_SCDPT2SN1!SCDPT2SN1_431ENDINGG_15</vt:lpstr>
      <vt:lpstr>GMIC_22A_SCDPT2SN1!SCDPT2SN1_431ENDINGG_16</vt:lpstr>
      <vt:lpstr>GMIC_22A_SCDPT2SN1!SCDPT2SN1_431ENDINGG_17</vt:lpstr>
      <vt:lpstr>GMIC_22A_SCDPT2SN1!SCDPT2SN1_431ENDINGG_18</vt:lpstr>
      <vt:lpstr>GMIC_22A_SCDPT2SN1!SCDPT2SN1_431ENDINGG_19</vt:lpstr>
      <vt:lpstr>GMIC_22A_SCDPT2SN1!SCDPT2SN1_431ENDINGG_2</vt:lpstr>
      <vt:lpstr>GMIC_22A_SCDPT2SN1!SCDPT2SN1_431ENDINGG_20.01</vt:lpstr>
      <vt:lpstr>GMIC_22A_SCDPT2SN1!SCDPT2SN1_431ENDINGG_20.02</vt:lpstr>
      <vt:lpstr>GMIC_22A_SCDPT2SN1!SCDPT2SN1_431ENDINGG_20.03</vt:lpstr>
      <vt:lpstr>GMIC_22A_SCDPT2SN1!SCDPT2SN1_431ENDINGG_21</vt:lpstr>
      <vt:lpstr>GMIC_22A_SCDPT2SN1!SCDPT2SN1_431ENDINGG_22</vt:lpstr>
      <vt:lpstr>GMIC_22A_SCDPT2SN1!SCDPT2SN1_431ENDINGG_23</vt:lpstr>
      <vt:lpstr>GMIC_22A_SCDPT2SN1!SCDPT2SN1_431ENDINGG_24</vt:lpstr>
      <vt:lpstr>GMIC_22A_SCDPT2SN1!SCDPT2SN1_431ENDINGG_25</vt:lpstr>
      <vt:lpstr>GMIC_22A_SCDPT2SN1!SCDPT2SN1_431ENDINGG_26</vt:lpstr>
      <vt:lpstr>GMIC_22A_SCDPT2SN1!SCDPT2SN1_431ENDINGG_27</vt:lpstr>
      <vt:lpstr>GMIC_22A_SCDPT2SN1!SCDPT2SN1_431ENDINGG_28</vt:lpstr>
      <vt:lpstr>GMIC_22A_SCDPT2SN1!SCDPT2SN1_431ENDINGG_29</vt:lpstr>
      <vt:lpstr>GMIC_22A_SCDPT2SN1!SCDPT2SN1_431ENDINGG_3</vt:lpstr>
      <vt:lpstr>GMIC_22A_SCDPT2SN1!SCDPT2SN1_431ENDINGG_4</vt:lpstr>
      <vt:lpstr>GMIC_22A_SCDPT2SN1!SCDPT2SN1_431ENDINGG_5</vt:lpstr>
      <vt:lpstr>GMIC_22A_SCDPT2SN1!SCDPT2SN1_431ENDINGG_6</vt:lpstr>
      <vt:lpstr>GMIC_22A_SCDPT2SN1!SCDPT2SN1_431ENDINGG_7</vt:lpstr>
      <vt:lpstr>GMIC_22A_SCDPT2SN1!SCDPT2SN1_431ENDINGG_8</vt:lpstr>
      <vt:lpstr>GMIC_22A_SCDPT2SN1!SCDPT2SN1_431ENDINGG_9</vt:lpstr>
      <vt:lpstr>GMIC_22A_SCDPT2SN1!SCDPT2SN1_4320000000_Range</vt:lpstr>
      <vt:lpstr>GMIC_22A_SCDPT2SN1!SCDPT2SN1_4329999999_10</vt:lpstr>
      <vt:lpstr>GMIC_22A_SCDPT2SN1!SCDPT2SN1_4329999999_11</vt:lpstr>
      <vt:lpstr>GMIC_22A_SCDPT2SN1!SCDPT2SN1_4329999999_12</vt:lpstr>
      <vt:lpstr>GMIC_22A_SCDPT2SN1!SCDPT2SN1_4329999999_13</vt:lpstr>
      <vt:lpstr>GMIC_22A_SCDPT2SN1!SCDPT2SN1_4329999999_14</vt:lpstr>
      <vt:lpstr>GMIC_22A_SCDPT2SN1!SCDPT2SN1_4329999999_15</vt:lpstr>
      <vt:lpstr>GMIC_22A_SCDPT2SN1!SCDPT2SN1_4329999999_16</vt:lpstr>
      <vt:lpstr>GMIC_22A_SCDPT2SN1!SCDPT2SN1_4329999999_17</vt:lpstr>
      <vt:lpstr>GMIC_22A_SCDPT2SN1!SCDPT2SN1_4329999999_18</vt:lpstr>
      <vt:lpstr>GMIC_22A_SCDPT2SN1!SCDPT2SN1_4329999999_19</vt:lpstr>
      <vt:lpstr>GMIC_22A_SCDPT2SN1!SCDPT2SN1_4329999999_8</vt:lpstr>
      <vt:lpstr>GMIC_22A_SCDPT2SN1!SCDPT2SN1_432BEGINNG_1</vt:lpstr>
      <vt:lpstr>GMIC_22A_SCDPT2SN1!SCDPT2SN1_432BEGINNG_10</vt:lpstr>
      <vt:lpstr>GMIC_22A_SCDPT2SN1!SCDPT2SN1_432BEGINNG_11</vt:lpstr>
      <vt:lpstr>GMIC_22A_SCDPT2SN1!SCDPT2SN1_432BEGINNG_12</vt:lpstr>
      <vt:lpstr>GMIC_22A_SCDPT2SN1!SCDPT2SN1_432BEGINNG_13</vt:lpstr>
      <vt:lpstr>GMIC_22A_SCDPT2SN1!SCDPT2SN1_432BEGINNG_14</vt:lpstr>
      <vt:lpstr>GMIC_22A_SCDPT2SN1!SCDPT2SN1_432BEGINNG_15</vt:lpstr>
      <vt:lpstr>GMIC_22A_SCDPT2SN1!SCDPT2SN1_432BEGINNG_16</vt:lpstr>
      <vt:lpstr>GMIC_22A_SCDPT2SN1!SCDPT2SN1_432BEGINNG_17</vt:lpstr>
      <vt:lpstr>GMIC_22A_SCDPT2SN1!SCDPT2SN1_432BEGINNG_18</vt:lpstr>
      <vt:lpstr>GMIC_22A_SCDPT2SN1!SCDPT2SN1_432BEGINNG_19</vt:lpstr>
      <vt:lpstr>GMIC_22A_SCDPT2SN1!SCDPT2SN1_432BEGINNG_2</vt:lpstr>
      <vt:lpstr>GMIC_22A_SCDPT2SN1!SCDPT2SN1_432BEGINNG_20.01</vt:lpstr>
      <vt:lpstr>GMIC_22A_SCDPT2SN1!SCDPT2SN1_432BEGINNG_20.02</vt:lpstr>
      <vt:lpstr>GMIC_22A_SCDPT2SN1!SCDPT2SN1_432BEGINNG_20.03</vt:lpstr>
      <vt:lpstr>GMIC_22A_SCDPT2SN1!SCDPT2SN1_432BEGINNG_21</vt:lpstr>
      <vt:lpstr>GMIC_22A_SCDPT2SN1!SCDPT2SN1_432BEGINNG_22</vt:lpstr>
      <vt:lpstr>GMIC_22A_SCDPT2SN1!SCDPT2SN1_432BEGINNG_23</vt:lpstr>
      <vt:lpstr>GMIC_22A_SCDPT2SN1!SCDPT2SN1_432BEGINNG_24</vt:lpstr>
      <vt:lpstr>GMIC_22A_SCDPT2SN1!SCDPT2SN1_432BEGINNG_25</vt:lpstr>
      <vt:lpstr>GMIC_22A_SCDPT2SN1!SCDPT2SN1_432BEGINNG_26</vt:lpstr>
      <vt:lpstr>GMIC_22A_SCDPT2SN1!SCDPT2SN1_432BEGINNG_27</vt:lpstr>
      <vt:lpstr>GMIC_22A_SCDPT2SN1!SCDPT2SN1_432BEGINNG_28</vt:lpstr>
      <vt:lpstr>GMIC_22A_SCDPT2SN1!SCDPT2SN1_432BEGINNG_29</vt:lpstr>
      <vt:lpstr>GMIC_22A_SCDPT2SN1!SCDPT2SN1_432BEGINNG_3</vt:lpstr>
      <vt:lpstr>GMIC_22A_SCDPT2SN1!SCDPT2SN1_432BEGINNG_4</vt:lpstr>
      <vt:lpstr>GMIC_22A_SCDPT2SN1!SCDPT2SN1_432BEGINNG_5</vt:lpstr>
      <vt:lpstr>GMIC_22A_SCDPT2SN1!SCDPT2SN1_432BEGINNG_6</vt:lpstr>
      <vt:lpstr>GMIC_22A_SCDPT2SN1!SCDPT2SN1_432BEGINNG_7</vt:lpstr>
      <vt:lpstr>GMIC_22A_SCDPT2SN1!SCDPT2SN1_432BEGINNG_8</vt:lpstr>
      <vt:lpstr>GMIC_22A_SCDPT2SN1!SCDPT2SN1_432BEGINNG_9</vt:lpstr>
      <vt:lpstr>GMIC_22A_SCDPT2SN1!SCDPT2SN1_432ENDINGG_10</vt:lpstr>
      <vt:lpstr>GMIC_22A_SCDPT2SN1!SCDPT2SN1_432ENDINGG_11</vt:lpstr>
      <vt:lpstr>GMIC_22A_SCDPT2SN1!SCDPT2SN1_432ENDINGG_12</vt:lpstr>
      <vt:lpstr>GMIC_22A_SCDPT2SN1!SCDPT2SN1_432ENDINGG_13</vt:lpstr>
      <vt:lpstr>GMIC_22A_SCDPT2SN1!SCDPT2SN1_432ENDINGG_14</vt:lpstr>
      <vt:lpstr>GMIC_22A_SCDPT2SN1!SCDPT2SN1_432ENDINGG_15</vt:lpstr>
      <vt:lpstr>GMIC_22A_SCDPT2SN1!SCDPT2SN1_432ENDINGG_16</vt:lpstr>
      <vt:lpstr>GMIC_22A_SCDPT2SN1!SCDPT2SN1_432ENDINGG_17</vt:lpstr>
      <vt:lpstr>GMIC_22A_SCDPT2SN1!SCDPT2SN1_432ENDINGG_18</vt:lpstr>
      <vt:lpstr>GMIC_22A_SCDPT2SN1!SCDPT2SN1_432ENDINGG_19</vt:lpstr>
      <vt:lpstr>GMIC_22A_SCDPT2SN1!SCDPT2SN1_432ENDINGG_2</vt:lpstr>
      <vt:lpstr>GMIC_22A_SCDPT2SN1!SCDPT2SN1_432ENDINGG_20.01</vt:lpstr>
      <vt:lpstr>GMIC_22A_SCDPT2SN1!SCDPT2SN1_432ENDINGG_20.02</vt:lpstr>
      <vt:lpstr>GMIC_22A_SCDPT2SN1!SCDPT2SN1_432ENDINGG_20.03</vt:lpstr>
      <vt:lpstr>GMIC_22A_SCDPT2SN1!SCDPT2SN1_432ENDINGG_21</vt:lpstr>
      <vt:lpstr>GMIC_22A_SCDPT2SN1!SCDPT2SN1_432ENDINGG_22</vt:lpstr>
      <vt:lpstr>GMIC_22A_SCDPT2SN1!SCDPT2SN1_432ENDINGG_23</vt:lpstr>
      <vt:lpstr>GMIC_22A_SCDPT2SN1!SCDPT2SN1_432ENDINGG_24</vt:lpstr>
      <vt:lpstr>GMIC_22A_SCDPT2SN1!SCDPT2SN1_432ENDINGG_25</vt:lpstr>
      <vt:lpstr>GMIC_22A_SCDPT2SN1!SCDPT2SN1_432ENDINGG_26</vt:lpstr>
      <vt:lpstr>GMIC_22A_SCDPT2SN1!SCDPT2SN1_432ENDINGG_27</vt:lpstr>
      <vt:lpstr>GMIC_22A_SCDPT2SN1!SCDPT2SN1_432ENDINGG_28</vt:lpstr>
      <vt:lpstr>GMIC_22A_SCDPT2SN1!SCDPT2SN1_432ENDINGG_29</vt:lpstr>
      <vt:lpstr>GMIC_22A_SCDPT2SN1!SCDPT2SN1_432ENDINGG_3</vt:lpstr>
      <vt:lpstr>GMIC_22A_SCDPT2SN1!SCDPT2SN1_432ENDINGG_4</vt:lpstr>
      <vt:lpstr>GMIC_22A_SCDPT2SN1!SCDPT2SN1_432ENDINGG_5</vt:lpstr>
      <vt:lpstr>GMIC_22A_SCDPT2SN1!SCDPT2SN1_432ENDINGG_6</vt:lpstr>
      <vt:lpstr>GMIC_22A_SCDPT2SN1!SCDPT2SN1_432ENDINGG_7</vt:lpstr>
      <vt:lpstr>GMIC_22A_SCDPT2SN1!SCDPT2SN1_432ENDINGG_8</vt:lpstr>
      <vt:lpstr>GMIC_22A_SCDPT2SN1!SCDPT2SN1_432ENDINGG_9</vt:lpstr>
      <vt:lpstr>GMIC_22A_SCDPT2SN1!SCDPT2SN1_4409999999_10</vt:lpstr>
      <vt:lpstr>GMIC_22A_SCDPT2SN1!SCDPT2SN1_4409999999_11</vt:lpstr>
      <vt:lpstr>GMIC_22A_SCDPT2SN1!SCDPT2SN1_4409999999_12</vt:lpstr>
      <vt:lpstr>GMIC_22A_SCDPT2SN1!SCDPT2SN1_4409999999_13</vt:lpstr>
      <vt:lpstr>GMIC_22A_SCDPT2SN1!SCDPT2SN1_4409999999_14</vt:lpstr>
      <vt:lpstr>GMIC_22A_SCDPT2SN1!SCDPT2SN1_4409999999_15</vt:lpstr>
      <vt:lpstr>GMIC_22A_SCDPT2SN1!SCDPT2SN1_4409999999_16</vt:lpstr>
      <vt:lpstr>GMIC_22A_SCDPT2SN1!SCDPT2SN1_4409999999_17</vt:lpstr>
      <vt:lpstr>GMIC_22A_SCDPT2SN1!SCDPT2SN1_4409999999_18</vt:lpstr>
      <vt:lpstr>GMIC_22A_SCDPT2SN1!SCDPT2SN1_4409999999_19</vt:lpstr>
      <vt:lpstr>GMIC_22A_SCDPT2SN1!SCDPT2SN1_4409999999_8</vt:lpstr>
      <vt:lpstr>GMIC_22A_SCDPT2SN1!SCDPT2SN1_4509999999_10</vt:lpstr>
      <vt:lpstr>GMIC_22A_SCDPT2SN1!SCDPT2SN1_4509999999_11</vt:lpstr>
      <vt:lpstr>GMIC_22A_SCDPT2SN1!SCDPT2SN1_4509999999_12</vt:lpstr>
      <vt:lpstr>GMIC_22A_SCDPT2SN1!SCDPT2SN1_4509999999_13</vt:lpstr>
      <vt:lpstr>GMIC_22A_SCDPT2SN1!SCDPT2SN1_4509999999_14</vt:lpstr>
      <vt:lpstr>GMIC_22A_SCDPT2SN1!SCDPT2SN1_4509999999_15</vt:lpstr>
      <vt:lpstr>GMIC_22A_SCDPT2SN1!SCDPT2SN1_4509999999_16</vt:lpstr>
      <vt:lpstr>GMIC_22A_SCDPT2SN1!SCDPT2SN1_4509999999_17</vt:lpstr>
      <vt:lpstr>GMIC_22A_SCDPT2SN1!SCDPT2SN1_4509999999_18</vt:lpstr>
      <vt:lpstr>GMIC_22A_SCDPT2SN1!SCDPT2SN1_4509999999_19</vt:lpstr>
      <vt:lpstr>GMIC_22A_SCDPT2SN1!SCDPT2SN1_4509999999_8</vt:lpstr>
      <vt:lpstr>GMIC_22A_SCDPT2SN1F!SCDPT2SN1F_000001A_1</vt:lpstr>
      <vt:lpstr>GMIC_22A_SCDPT2SN1F!SCDPT2SN1F_000001A_2</vt:lpstr>
      <vt:lpstr>GMIC_22A_SCDPT2SN1F!SCDPT2SN1F_000001A_3</vt:lpstr>
      <vt:lpstr>GMIC_22A_SCDPT2SN1F!SCDPT2SN1F_000001A_4</vt:lpstr>
      <vt:lpstr>GMIC_22A_SCDPT2SN1F!SCDPT2SN1F_000001A_5</vt:lpstr>
      <vt:lpstr>GMIC_22A_SCDPT2SN1F!SCDPT2SN1F_000001A_6</vt:lpstr>
      <vt:lpstr>GMIC_22A_SCDPT2SN1F!SCDPT2SN1F_000001A_7</vt:lpstr>
      <vt:lpstr>GMIC_22A_SCDPT2SN1F!SCDPT2SN1F_000001B_1</vt:lpstr>
      <vt:lpstr>GMIC_22A_SCDPT2SN1F!SCDPT2SN1F_000001B_2</vt:lpstr>
      <vt:lpstr>GMIC_22A_SCDPT2SN1F!SCDPT2SN1F_000001B_3</vt:lpstr>
      <vt:lpstr>GMIC_22A_SCDPT2SN1F!SCDPT2SN1F_000001C_1</vt:lpstr>
      <vt:lpstr>GMIC_22A_SCDPT2SN1F!SCDPT2SN1F_000001C_2</vt:lpstr>
      <vt:lpstr>GMIC_22A_SCDPT2SN1F!SCDPT2SN1F_000001C_3</vt:lpstr>
      <vt:lpstr>GMIC_22A_SCDPT2SN1F!SCDPT2SN1F_000001D_1</vt:lpstr>
      <vt:lpstr>GMIC_22A_SCDPT2SN1F!SCDPT2SN1F_000001D_2</vt:lpstr>
      <vt:lpstr>GMIC_22A_SCDPT2SN1F!SCDPT2SN1F_000001D_3</vt:lpstr>
      <vt:lpstr>GMIC_22A_SCDPT2SN1F!SCDPT2SN1F_000001E_1</vt:lpstr>
      <vt:lpstr>GMIC_22A_SCDPT2SN1F!SCDPT2SN1F_000001E_2</vt:lpstr>
      <vt:lpstr>GMIC_22A_SCDPT2SN1F!SCDPT2SN1F_000001E_3</vt:lpstr>
      <vt:lpstr>GMIC_22A_SCDPT2SN1F!SCDPT2SN1F_000001F_1</vt:lpstr>
      <vt:lpstr>GMIC_22A_SCDPT2SN2!SCDPT2SN2_5010000000_Range</vt:lpstr>
      <vt:lpstr>GMIC_22A_SCDPT2SN2!SCDPT2SN2_5019999999_10</vt:lpstr>
      <vt:lpstr>GMIC_22A_SCDPT2SN2!SCDPT2SN2_5019999999_11</vt:lpstr>
      <vt:lpstr>GMIC_22A_SCDPT2SN2!SCDPT2SN2_5019999999_12</vt:lpstr>
      <vt:lpstr>GMIC_22A_SCDPT2SN2!SCDPT2SN2_5019999999_13</vt:lpstr>
      <vt:lpstr>GMIC_22A_SCDPT2SN2!SCDPT2SN2_5019999999_14</vt:lpstr>
      <vt:lpstr>GMIC_22A_SCDPT2SN2!SCDPT2SN2_5019999999_15</vt:lpstr>
      <vt:lpstr>GMIC_22A_SCDPT2SN2!SCDPT2SN2_5019999999_16</vt:lpstr>
      <vt:lpstr>GMIC_22A_SCDPT2SN2!SCDPT2SN2_5019999999_6</vt:lpstr>
      <vt:lpstr>GMIC_22A_SCDPT2SN2!SCDPT2SN2_5019999999_8</vt:lpstr>
      <vt:lpstr>GMIC_22A_SCDPT2SN2!SCDPT2SN2_5019999999_9</vt:lpstr>
      <vt:lpstr>GMIC_22A_SCDPT2SN2!SCDPT2SN2_501BEGINNG_1</vt:lpstr>
      <vt:lpstr>GMIC_22A_SCDPT2SN2!SCDPT2SN2_501BEGINNG_10</vt:lpstr>
      <vt:lpstr>GMIC_22A_SCDPT2SN2!SCDPT2SN2_501BEGINNG_11</vt:lpstr>
      <vt:lpstr>GMIC_22A_SCDPT2SN2!SCDPT2SN2_501BEGINNG_12</vt:lpstr>
      <vt:lpstr>GMIC_22A_SCDPT2SN2!SCDPT2SN2_501BEGINNG_13</vt:lpstr>
      <vt:lpstr>GMIC_22A_SCDPT2SN2!SCDPT2SN2_501BEGINNG_14</vt:lpstr>
      <vt:lpstr>GMIC_22A_SCDPT2SN2!SCDPT2SN2_501BEGINNG_15</vt:lpstr>
      <vt:lpstr>GMIC_22A_SCDPT2SN2!SCDPT2SN2_501BEGINNG_16</vt:lpstr>
      <vt:lpstr>GMIC_22A_SCDPT2SN2!SCDPT2SN2_501BEGINNG_17</vt:lpstr>
      <vt:lpstr>GMIC_22A_SCDPT2SN2!SCDPT2SN2_501BEGINNG_18.01</vt:lpstr>
      <vt:lpstr>GMIC_22A_SCDPT2SN2!SCDPT2SN2_501BEGINNG_18.02</vt:lpstr>
      <vt:lpstr>GMIC_22A_SCDPT2SN2!SCDPT2SN2_501BEGINNG_18.03</vt:lpstr>
      <vt:lpstr>GMIC_22A_SCDPT2SN2!SCDPT2SN2_501BEGINNG_19</vt:lpstr>
      <vt:lpstr>GMIC_22A_SCDPT2SN2!SCDPT2SN2_501BEGINNG_2</vt:lpstr>
      <vt:lpstr>GMIC_22A_SCDPT2SN2!SCDPT2SN2_501BEGINNG_20</vt:lpstr>
      <vt:lpstr>GMIC_22A_SCDPT2SN2!SCDPT2SN2_501BEGINNG_21</vt:lpstr>
      <vt:lpstr>GMIC_22A_SCDPT2SN2!SCDPT2SN2_501BEGINNG_22</vt:lpstr>
      <vt:lpstr>GMIC_22A_SCDPT2SN2!SCDPT2SN2_501BEGINNG_23</vt:lpstr>
      <vt:lpstr>GMIC_22A_SCDPT2SN2!SCDPT2SN2_501BEGINNG_24</vt:lpstr>
      <vt:lpstr>GMIC_22A_SCDPT2SN2!SCDPT2SN2_501BEGINNG_25</vt:lpstr>
      <vt:lpstr>GMIC_22A_SCDPT2SN2!SCDPT2SN2_501BEGINNG_26</vt:lpstr>
      <vt:lpstr>GMIC_22A_SCDPT2SN2!SCDPT2SN2_501BEGINNG_3</vt:lpstr>
      <vt:lpstr>GMIC_22A_SCDPT2SN2!SCDPT2SN2_501BEGINNG_4</vt:lpstr>
      <vt:lpstr>GMIC_22A_SCDPT2SN2!SCDPT2SN2_501BEGINNG_5</vt:lpstr>
      <vt:lpstr>GMIC_22A_SCDPT2SN2!SCDPT2SN2_501BEGINNG_6</vt:lpstr>
      <vt:lpstr>GMIC_22A_SCDPT2SN2!SCDPT2SN2_501BEGINNG_7</vt:lpstr>
      <vt:lpstr>GMIC_22A_SCDPT2SN2!SCDPT2SN2_501BEGINNG_8</vt:lpstr>
      <vt:lpstr>GMIC_22A_SCDPT2SN2!SCDPT2SN2_501BEGINNG_9</vt:lpstr>
      <vt:lpstr>GMIC_22A_SCDPT2SN2!SCDPT2SN2_501ENDINGG_10</vt:lpstr>
      <vt:lpstr>GMIC_22A_SCDPT2SN2!SCDPT2SN2_501ENDINGG_11</vt:lpstr>
      <vt:lpstr>GMIC_22A_SCDPT2SN2!SCDPT2SN2_501ENDINGG_12</vt:lpstr>
      <vt:lpstr>GMIC_22A_SCDPT2SN2!SCDPT2SN2_501ENDINGG_13</vt:lpstr>
      <vt:lpstr>GMIC_22A_SCDPT2SN2!SCDPT2SN2_501ENDINGG_14</vt:lpstr>
      <vt:lpstr>GMIC_22A_SCDPT2SN2!SCDPT2SN2_501ENDINGG_15</vt:lpstr>
      <vt:lpstr>GMIC_22A_SCDPT2SN2!SCDPT2SN2_501ENDINGG_16</vt:lpstr>
      <vt:lpstr>GMIC_22A_SCDPT2SN2!SCDPT2SN2_501ENDINGG_17</vt:lpstr>
      <vt:lpstr>GMIC_22A_SCDPT2SN2!SCDPT2SN2_501ENDINGG_18.01</vt:lpstr>
      <vt:lpstr>GMIC_22A_SCDPT2SN2!SCDPT2SN2_501ENDINGG_18.02</vt:lpstr>
      <vt:lpstr>GMIC_22A_SCDPT2SN2!SCDPT2SN2_501ENDINGG_18.03</vt:lpstr>
      <vt:lpstr>GMIC_22A_SCDPT2SN2!SCDPT2SN2_501ENDINGG_19</vt:lpstr>
      <vt:lpstr>GMIC_22A_SCDPT2SN2!SCDPT2SN2_501ENDINGG_2</vt:lpstr>
      <vt:lpstr>GMIC_22A_SCDPT2SN2!SCDPT2SN2_501ENDINGG_20</vt:lpstr>
      <vt:lpstr>GMIC_22A_SCDPT2SN2!SCDPT2SN2_501ENDINGG_21</vt:lpstr>
      <vt:lpstr>GMIC_22A_SCDPT2SN2!SCDPT2SN2_501ENDINGG_22</vt:lpstr>
      <vt:lpstr>GMIC_22A_SCDPT2SN2!SCDPT2SN2_501ENDINGG_23</vt:lpstr>
      <vt:lpstr>GMIC_22A_SCDPT2SN2!SCDPT2SN2_501ENDINGG_24</vt:lpstr>
      <vt:lpstr>GMIC_22A_SCDPT2SN2!SCDPT2SN2_501ENDINGG_25</vt:lpstr>
      <vt:lpstr>GMIC_22A_SCDPT2SN2!SCDPT2SN2_501ENDINGG_26</vt:lpstr>
      <vt:lpstr>GMIC_22A_SCDPT2SN2!SCDPT2SN2_501ENDINGG_3</vt:lpstr>
      <vt:lpstr>GMIC_22A_SCDPT2SN2!SCDPT2SN2_501ENDINGG_4</vt:lpstr>
      <vt:lpstr>GMIC_22A_SCDPT2SN2!SCDPT2SN2_501ENDINGG_5</vt:lpstr>
      <vt:lpstr>GMIC_22A_SCDPT2SN2!SCDPT2SN2_501ENDINGG_6</vt:lpstr>
      <vt:lpstr>GMIC_22A_SCDPT2SN2!SCDPT2SN2_501ENDINGG_7</vt:lpstr>
      <vt:lpstr>GMIC_22A_SCDPT2SN2!SCDPT2SN2_501ENDINGG_8</vt:lpstr>
      <vt:lpstr>GMIC_22A_SCDPT2SN2!SCDPT2SN2_501ENDINGG_9</vt:lpstr>
      <vt:lpstr>GMIC_22A_SCDPT2SN2!SCDPT2SN2_5020000000_Range</vt:lpstr>
      <vt:lpstr>GMIC_22A_SCDPT2SN2!SCDPT2SN2_5029999999_10</vt:lpstr>
      <vt:lpstr>GMIC_22A_SCDPT2SN2!SCDPT2SN2_5029999999_11</vt:lpstr>
      <vt:lpstr>GMIC_22A_SCDPT2SN2!SCDPT2SN2_5029999999_12</vt:lpstr>
      <vt:lpstr>GMIC_22A_SCDPT2SN2!SCDPT2SN2_5029999999_13</vt:lpstr>
      <vt:lpstr>GMIC_22A_SCDPT2SN2!SCDPT2SN2_5029999999_14</vt:lpstr>
      <vt:lpstr>GMIC_22A_SCDPT2SN2!SCDPT2SN2_5029999999_15</vt:lpstr>
      <vt:lpstr>GMIC_22A_SCDPT2SN2!SCDPT2SN2_5029999999_16</vt:lpstr>
      <vt:lpstr>GMIC_22A_SCDPT2SN2!SCDPT2SN2_5029999999_6</vt:lpstr>
      <vt:lpstr>GMIC_22A_SCDPT2SN2!SCDPT2SN2_5029999999_8</vt:lpstr>
      <vt:lpstr>GMIC_22A_SCDPT2SN2!SCDPT2SN2_5029999999_9</vt:lpstr>
      <vt:lpstr>GMIC_22A_SCDPT2SN2!SCDPT2SN2_502BEGINNG_1</vt:lpstr>
      <vt:lpstr>GMIC_22A_SCDPT2SN2!SCDPT2SN2_502BEGINNG_10</vt:lpstr>
      <vt:lpstr>GMIC_22A_SCDPT2SN2!SCDPT2SN2_502BEGINNG_11</vt:lpstr>
      <vt:lpstr>GMIC_22A_SCDPT2SN2!SCDPT2SN2_502BEGINNG_12</vt:lpstr>
      <vt:lpstr>GMIC_22A_SCDPT2SN2!SCDPT2SN2_502BEGINNG_13</vt:lpstr>
      <vt:lpstr>GMIC_22A_SCDPT2SN2!SCDPT2SN2_502BEGINNG_14</vt:lpstr>
      <vt:lpstr>GMIC_22A_SCDPT2SN2!SCDPT2SN2_502BEGINNG_15</vt:lpstr>
      <vt:lpstr>GMIC_22A_SCDPT2SN2!SCDPT2SN2_502BEGINNG_16</vt:lpstr>
      <vt:lpstr>GMIC_22A_SCDPT2SN2!SCDPT2SN2_502BEGINNG_17</vt:lpstr>
      <vt:lpstr>GMIC_22A_SCDPT2SN2!SCDPT2SN2_502BEGINNG_18.01</vt:lpstr>
      <vt:lpstr>GMIC_22A_SCDPT2SN2!SCDPT2SN2_502BEGINNG_18.02</vt:lpstr>
      <vt:lpstr>GMIC_22A_SCDPT2SN2!SCDPT2SN2_502BEGINNG_18.03</vt:lpstr>
      <vt:lpstr>GMIC_22A_SCDPT2SN2!SCDPT2SN2_502BEGINNG_19</vt:lpstr>
      <vt:lpstr>GMIC_22A_SCDPT2SN2!SCDPT2SN2_502BEGINNG_2</vt:lpstr>
      <vt:lpstr>GMIC_22A_SCDPT2SN2!SCDPT2SN2_502BEGINNG_20</vt:lpstr>
      <vt:lpstr>GMIC_22A_SCDPT2SN2!SCDPT2SN2_502BEGINNG_21</vt:lpstr>
      <vt:lpstr>GMIC_22A_SCDPT2SN2!SCDPT2SN2_502BEGINNG_22</vt:lpstr>
      <vt:lpstr>GMIC_22A_SCDPT2SN2!SCDPT2SN2_502BEGINNG_23</vt:lpstr>
      <vt:lpstr>GMIC_22A_SCDPT2SN2!SCDPT2SN2_502BEGINNG_24</vt:lpstr>
      <vt:lpstr>GMIC_22A_SCDPT2SN2!SCDPT2SN2_502BEGINNG_25</vt:lpstr>
      <vt:lpstr>GMIC_22A_SCDPT2SN2!SCDPT2SN2_502BEGINNG_26</vt:lpstr>
      <vt:lpstr>GMIC_22A_SCDPT2SN2!SCDPT2SN2_502BEGINNG_3</vt:lpstr>
      <vt:lpstr>GMIC_22A_SCDPT2SN2!SCDPT2SN2_502BEGINNG_4</vt:lpstr>
      <vt:lpstr>GMIC_22A_SCDPT2SN2!SCDPT2SN2_502BEGINNG_5</vt:lpstr>
      <vt:lpstr>GMIC_22A_SCDPT2SN2!SCDPT2SN2_502BEGINNG_6</vt:lpstr>
      <vt:lpstr>GMIC_22A_SCDPT2SN2!SCDPT2SN2_502BEGINNG_7</vt:lpstr>
      <vt:lpstr>GMIC_22A_SCDPT2SN2!SCDPT2SN2_502BEGINNG_8</vt:lpstr>
      <vt:lpstr>GMIC_22A_SCDPT2SN2!SCDPT2SN2_502BEGINNG_9</vt:lpstr>
      <vt:lpstr>GMIC_22A_SCDPT2SN2!SCDPT2SN2_502ENDINGG_10</vt:lpstr>
      <vt:lpstr>GMIC_22A_SCDPT2SN2!SCDPT2SN2_502ENDINGG_11</vt:lpstr>
      <vt:lpstr>GMIC_22A_SCDPT2SN2!SCDPT2SN2_502ENDINGG_12</vt:lpstr>
      <vt:lpstr>GMIC_22A_SCDPT2SN2!SCDPT2SN2_502ENDINGG_13</vt:lpstr>
      <vt:lpstr>GMIC_22A_SCDPT2SN2!SCDPT2SN2_502ENDINGG_14</vt:lpstr>
      <vt:lpstr>GMIC_22A_SCDPT2SN2!SCDPT2SN2_502ENDINGG_15</vt:lpstr>
      <vt:lpstr>GMIC_22A_SCDPT2SN2!SCDPT2SN2_502ENDINGG_16</vt:lpstr>
      <vt:lpstr>GMIC_22A_SCDPT2SN2!SCDPT2SN2_502ENDINGG_17</vt:lpstr>
      <vt:lpstr>GMIC_22A_SCDPT2SN2!SCDPT2SN2_502ENDINGG_18.01</vt:lpstr>
      <vt:lpstr>GMIC_22A_SCDPT2SN2!SCDPT2SN2_502ENDINGG_18.02</vt:lpstr>
      <vt:lpstr>GMIC_22A_SCDPT2SN2!SCDPT2SN2_502ENDINGG_18.03</vt:lpstr>
      <vt:lpstr>GMIC_22A_SCDPT2SN2!SCDPT2SN2_502ENDINGG_19</vt:lpstr>
      <vt:lpstr>GMIC_22A_SCDPT2SN2!SCDPT2SN2_502ENDINGG_2</vt:lpstr>
      <vt:lpstr>GMIC_22A_SCDPT2SN2!SCDPT2SN2_502ENDINGG_20</vt:lpstr>
      <vt:lpstr>GMIC_22A_SCDPT2SN2!SCDPT2SN2_502ENDINGG_21</vt:lpstr>
      <vt:lpstr>GMIC_22A_SCDPT2SN2!SCDPT2SN2_502ENDINGG_22</vt:lpstr>
      <vt:lpstr>GMIC_22A_SCDPT2SN2!SCDPT2SN2_502ENDINGG_23</vt:lpstr>
      <vt:lpstr>GMIC_22A_SCDPT2SN2!SCDPT2SN2_502ENDINGG_24</vt:lpstr>
      <vt:lpstr>GMIC_22A_SCDPT2SN2!SCDPT2SN2_502ENDINGG_25</vt:lpstr>
      <vt:lpstr>GMIC_22A_SCDPT2SN2!SCDPT2SN2_502ENDINGG_26</vt:lpstr>
      <vt:lpstr>GMIC_22A_SCDPT2SN2!SCDPT2SN2_502ENDINGG_3</vt:lpstr>
      <vt:lpstr>GMIC_22A_SCDPT2SN2!SCDPT2SN2_502ENDINGG_4</vt:lpstr>
      <vt:lpstr>GMIC_22A_SCDPT2SN2!SCDPT2SN2_502ENDINGG_5</vt:lpstr>
      <vt:lpstr>GMIC_22A_SCDPT2SN2!SCDPT2SN2_502ENDINGG_6</vt:lpstr>
      <vt:lpstr>GMIC_22A_SCDPT2SN2!SCDPT2SN2_502ENDINGG_7</vt:lpstr>
      <vt:lpstr>GMIC_22A_SCDPT2SN2!SCDPT2SN2_502ENDINGG_8</vt:lpstr>
      <vt:lpstr>GMIC_22A_SCDPT2SN2!SCDPT2SN2_502ENDINGG_9</vt:lpstr>
      <vt:lpstr>GMIC_22A_SCDPT2SN2!SCDPT2SN2_5109999999_10</vt:lpstr>
      <vt:lpstr>GMIC_22A_SCDPT2SN2!SCDPT2SN2_5109999999_11</vt:lpstr>
      <vt:lpstr>GMIC_22A_SCDPT2SN2!SCDPT2SN2_5109999999_12</vt:lpstr>
      <vt:lpstr>GMIC_22A_SCDPT2SN2!SCDPT2SN2_5109999999_13</vt:lpstr>
      <vt:lpstr>GMIC_22A_SCDPT2SN2!SCDPT2SN2_5109999999_14</vt:lpstr>
      <vt:lpstr>GMIC_22A_SCDPT2SN2!SCDPT2SN2_5109999999_15</vt:lpstr>
      <vt:lpstr>GMIC_22A_SCDPT2SN2!SCDPT2SN2_5109999999_16</vt:lpstr>
      <vt:lpstr>GMIC_22A_SCDPT2SN2!SCDPT2SN2_5109999999_6</vt:lpstr>
      <vt:lpstr>GMIC_22A_SCDPT2SN2!SCDPT2SN2_5109999999_8</vt:lpstr>
      <vt:lpstr>GMIC_22A_SCDPT2SN2!SCDPT2SN2_5109999999_9</vt:lpstr>
      <vt:lpstr>GMIC_22A_SCDPT2SN2!SCDPT2SN2_5310000000_Range</vt:lpstr>
      <vt:lpstr>GMIC_22A_SCDPT2SN2!SCDPT2SN2_5319999999_10</vt:lpstr>
      <vt:lpstr>GMIC_22A_SCDPT2SN2!SCDPT2SN2_5319999999_11</vt:lpstr>
      <vt:lpstr>GMIC_22A_SCDPT2SN2!SCDPT2SN2_5319999999_12</vt:lpstr>
      <vt:lpstr>GMIC_22A_SCDPT2SN2!SCDPT2SN2_5319999999_13</vt:lpstr>
      <vt:lpstr>GMIC_22A_SCDPT2SN2!SCDPT2SN2_5319999999_14</vt:lpstr>
      <vt:lpstr>GMIC_22A_SCDPT2SN2!SCDPT2SN2_5319999999_15</vt:lpstr>
      <vt:lpstr>GMIC_22A_SCDPT2SN2!SCDPT2SN2_5319999999_16</vt:lpstr>
      <vt:lpstr>GMIC_22A_SCDPT2SN2!SCDPT2SN2_5319999999_6</vt:lpstr>
      <vt:lpstr>GMIC_22A_SCDPT2SN2!SCDPT2SN2_5319999999_8</vt:lpstr>
      <vt:lpstr>GMIC_22A_SCDPT2SN2!SCDPT2SN2_5319999999_9</vt:lpstr>
      <vt:lpstr>GMIC_22A_SCDPT2SN2!SCDPT2SN2_531BEGINNG_1</vt:lpstr>
      <vt:lpstr>GMIC_22A_SCDPT2SN2!SCDPT2SN2_531BEGINNG_10</vt:lpstr>
      <vt:lpstr>GMIC_22A_SCDPT2SN2!SCDPT2SN2_531BEGINNG_11</vt:lpstr>
      <vt:lpstr>GMIC_22A_SCDPT2SN2!SCDPT2SN2_531BEGINNG_12</vt:lpstr>
      <vt:lpstr>GMIC_22A_SCDPT2SN2!SCDPT2SN2_531BEGINNG_13</vt:lpstr>
      <vt:lpstr>GMIC_22A_SCDPT2SN2!SCDPT2SN2_531BEGINNG_14</vt:lpstr>
      <vt:lpstr>GMIC_22A_SCDPT2SN2!SCDPT2SN2_531BEGINNG_15</vt:lpstr>
      <vt:lpstr>GMIC_22A_SCDPT2SN2!SCDPT2SN2_531BEGINNG_16</vt:lpstr>
      <vt:lpstr>GMIC_22A_SCDPT2SN2!SCDPT2SN2_531BEGINNG_17</vt:lpstr>
      <vt:lpstr>GMIC_22A_SCDPT2SN2!SCDPT2SN2_531BEGINNG_18.01</vt:lpstr>
      <vt:lpstr>GMIC_22A_SCDPT2SN2!SCDPT2SN2_531BEGINNG_18.02</vt:lpstr>
      <vt:lpstr>GMIC_22A_SCDPT2SN2!SCDPT2SN2_531BEGINNG_18.03</vt:lpstr>
      <vt:lpstr>GMIC_22A_SCDPT2SN2!SCDPT2SN2_531BEGINNG_19</vt:lpstr>
      <vt:lpstr>GMIC_22A_SCDPT2SN2!SCDPT2SN2_531BEGINNG_2</vt:lpstr>
      <vt:lpstr>GMIC_22A_SCDPT2SN2!SCDPT2SN2_531BEGINNG_20</vt:lpstr>
      <vt:lpstr>GMIC_22A_SCDPT2SN2!SCDPT2SN2_531BEGINNG_21</vt:lpstr>
      <vt:lpstr>GMIC_22A_SCDPT2SN2!SCDPT2SN2_531BEGINNG_22</vt:lpstr>
      <vt:lpstr>GMIC_22A_SCDPT2SN2!SCDPT2SN2_531BEGINNG_23</vt:lpstr>
      <vt:lpstr>GMIC_22A_SCDPT2SN2!SCDPT2SN2_531BEGINNG_24</vt:lpstr>
      <vt:lpstr>GMIC_22A_SCDPT2SN2!SCDPT2SN2_531BEGINNG_25</vt:lpstr>
      <vt:lpstr>GMIC_22A_SCDPT2SN2!SCDPT2SN2_531BEGINNG_26</vt:lpstr>
      <vt:lpstr>GMIC_22A_SCDPT2SN2!SCDPT2SN2_531BEGINNG_3</vt:lpstr>
      <vt:lpstr>GMIC_22A_SCDPT2SN2!SCDPT2SN2_531BEGINNG_4</vt:lpstr>
      <vt:lpstr>GMIC_22A_SCDPT2SN2!SCDPT2SN2_531BEGINNG_5</vt:lpstr>
      <vt:lpstr>GMIC_22A_SCDPT2SN2!SCDPT2SN2_531BEGINNG_6</vt:lpstr>
      <vt:lpstr>GMIC_22A_SCDPT2SN2!SCDPT2SN2_531BEGINNG_7</vt:lpstr>
      <vt:lpstr>GMIC_22A_SCDPT2SN2!SCDPT2SN2_531BEGINNG_8</vt:lpstr>
      <vt:lpstr>GMIC_22A_SCDPT2SN2!SCDPT2SN2_531BEGINNG_9</vt:lpstr>
      <vt:lpstr>GMIC_22A_SCDPT2SN2!SCDPT2SN2_531ENDINGG_10</vt:lpstr>
      <vt:lpstr>GMIC_22A_SCDPT2SN2!SCDPT2SN2_531ENDINGG_11</vt:lpstr>
      <vt:lpstr>GMIC_22A_SCDPT2SN2!SCDPT2SN2_531ENDINGG_12</vt:lpstr>
      <vt:lpstr>GMIC_22A_SCDPT2SN2!SCDPT2SN2_531ENDINGG_13</vt:lpstr>
      <vt:lpstr>GMIC_22A_SCDPT2SN2!SCDPT2SN2_531ENDINGG_14</vt:lpstr>
      <vt:lpstr>GMIC_22A_SCDPT2SN2!SCDPT2SN2_531ENDINGG_15</vt:lpstr>
      <vt:lpstr>GMIC_22A_SCDPT2SN2!SCDPT2SN2_531ENDINGG_16</vt:lpstr>
      <vt:lpstr>GMIC_22A_SCDPT2SN2!SCDPT2SN2_531ENDINGG_17</vt:lpstr>
      <vt:lpstr>GMIC_22A_SCDPT2SN2!SCDPT2SN2_531ENDINGG_18.01</vt:lpstr>
      <vt:lpstr>GMIC_22A_SCDPT2SN2!SCDPT2SN2_531ENDINGG_18.02</vt:lpstr>
      <vt:lpstr>GMIC_22A_SCDPT2SN2!SCDPT2SN2_531ENDINGG_18.03</vt:lpstr>
      <vt:lpstr>GMIC_22A_SCDPT2SN2!SCDPT2SN2_531ENDINGG_19</vt:lpstr>
      <vt:lpstr>GMIC_22A_SCDPT2SN2!SCDPT2SN2_531ENDINGG_2</vt:lpstr>
      <vt:lpstr>GMIC_22A_SCDPT2SN2!SCDPT2SN2_531ENDINGG_20</vt:lpstr>
      <vt:lpstr>GMIC_22A_SCDPT2SN2!SCDPT2SN2_531ENDINGG_21</vt:lpstr>
      <vt:lpstr>GMIC_22A_SCDPT2SN2!SCDPT2SN2_531ENDINGG_22</vt:lpstr>
      <vt:lpstr>GMIC_22A_SCDPT2SN2!SCDPT2SN2_531ENDINGG_23</vt:lpstr>
      <vt:lpstr>GMIC_22A_SCDPT2SN2!SCDPT2SN2_531ENDINGG_24</vt:lpstr>
      <vt:lpstr>GMIC_22A_SCDPT2SN2!SCDPT2SN2_531ENDINGG_25</vt:lpstr>
      <vt:lpstr>GMIC_22A_SCDPT2SN2!SCDPT2SN2_531ENDINGG_26</vt:lpstr>
      <vt:lpstr>GMIC_22A_SCDPT2SN2!SCDPT2SN2_531ENDINGG_3</vt:lpstr>
      <vt:lpstr>GMIC_22A_SCDPT2SN2!SCDPT2SN2_531ENDINGG_4</vt:lpstr>
      <vt:lpstr>GMIC_22A_SCDPT2SN2!SCDPT2SN2_531ENDINGG_5</vt:lpstr>
      <vt:lpstr>GMIC_22A_SCDPT2SN2!SCDPT2SN2_531ENDINGG_6</vt:lpstr>
      <vt:lpstr>GMIC_22A_SCDPT2SN2!SCDPT2SN2_531ENDINGG_7</vt:lpstr>
      <vt:lpstr>GMIC_22A_SCDPT2SN2!SCDPT2SN2_531ENDINGG_8</vt:lpstr>
      <vt:lpstr>GMIC_22A_SCDPT2SN2!SCDPT2SN2_531ENDINGG_9</vt:lpstr>
      <vt:lpstr>GMIC_22A_SCDPT2SN2!SCDPT2SN2_5320000000_Range</vt:lpstr>
      <vt:lpstr>GMIC_22A_SCDPT2SN2!SCDPT2SN2_5329999999_10</vt:lpstr>
      <vt:lpstr>GMIC_22A_SCDPT2SN2!SCDPT2SN2_5329999999_11</vt:lpstr>
      <vt:lpstr>GMIC_22A_SCDPT2SN2!SCDPT2SN2_5329999999_12</vt:lpstr>
      <vt:lpstr>GMIC_22A_SCDPT2SN2!SCDPT2SN2_5329999999_13</vt:lpstr>
      <vt:lpstr>GMIC_22A_SCDPT2SN2!SCDPT2SN2_5329999999_14</vt:lpstr>
      <vt:lpstr>GMIC_22A_SCDPT2SN2!SCDPT2SN2_5329999999_15</vt:lpstr>
      <vt:lpstr>GMIC_22A_SCDPT2SN2!SCDPT2SN2_5329999999_16</vt:lpstr>
      <vt:lpstr>GMIC_22A_SCDPT2SN2!SCDPT2SN2_5329999999_6</vt:lpstr>
      <vt:lpstr>GMIC_22A_SCDPT2SN2!SCDPT2SN2_5329999999_8</vt:lpstr>
      <vt:lpstr>GMIC_22A_SCDPT2SN2!SCDPT2SN2_5329999999_9</vt:lpstr>
      <vt:lpstr>GMIC_22A_SCDPT2SN2!SCDPT2SN2_532BEGINNG_1</vt:lpstr>
      <vt:lpstr>GMIC_22A_SCDPT2SN2!SCDPT2SN2_532BEGINNG_10</vt:lpstr>
      <vt:lpstr>GMIC_22A_SCDPT2SN2!SCDPT2SN2_532BEGINNG_11</vt:lpstr>
      <vt:lpstr>GMIC_22A_SCDPT2SN2!SCDPT2SN2_532BEGINNG_12</vt:lpstr>
      <vt:lpstr>GMIC_22A_SCDPT2SN2!SCDPT2SN2_532BEGINNG_13</vt:lpstr>
      <vt:lpstr>GMIC_22A_SCDPT2SN2!SCDPT2SN2_532BEGINNG_14</vt:lpstr>
      <vt:lpstr>GMIC_22A_SCDPT2SN2!SCDPT2SN2_532BEGINNG_15</vt:lpstr>
      <vt:lpstr>GMIC_22A_SCDPT2SN2!SCDPT2SN2_532BEGINNG_16</vt:lpstr>
      <vt:lpstr>GMIC_22A_SCDPT2SN2!SCDPT2SN2_532BEGINNG_17</vt:lpstr>
      <vt:lpstr>GMIC_22A_SCDPT2SN2!SCDPT2SN2_532BEGINNG_18.01</vt:lpstr>
      <vt:lpstr>GMIC_22A_SCDPT2SN2!SCDPT2SN2_532BEGINNG_18.02</vt:lpstr>
      <vt:lpstr>GMIC_22A_SCDPT2SN2!SCDPT2SN2_532BEGINNG_18.03</vt:lpstr>
      <vt:lpstr>GMIC_22A_SCDPT2SN2!SCDPT2SN2_532BEGINNG_19</vt:lpstr>
      <vt:lpstr>GMIC_22A_SCDPT2SN2!SCDPT2SN2_532BEGINNG_2</vt:lpstr>
      <vt:lpstr>GMIC_22A_SCDPT2SN2!SCDPT2SN2_532BEGINNG_20</vt:lpstr>
      <vt:lpstr>GMIC_22A_SCDPT2SN2!SCDPT2SN2_532BEGINNG_21</vt:lpstr>
      <vt:lpstr>GMIC_22A_SCDPT2SN2!SCDPT2SN2_532BEGINNG_22</vt:lpstr>
      <vt:lpstr>GMIC_22A_SCDPT2SN2!SCDPT2SN2_532BEGINNG_23</vt:lpstr>
      <vt:lpstr>GMIC_22A_SCDPT2SN2!SCDPT2SN2_532BEGINNG_24</vt:lpstr>
      <vt:lpstr>GMIC_22A_SCDPT2SN2!SCDPT2SN2_532BEGINNG_25</vt:lpstr>
      <vt:lpstr>GMIC_22A_SCDPT2SN2!SCDPT2SN2_532BEGINNG_26</vt:lpstr>
      <vt:lpstr>GMIC_22A_SCDPT2SN2!SCDPT2SN2_532BEGINNG_3</vt:lpstr>
      <vt:lpstr>GMIC_22A_SCDPT2SN2!SCDPT2SN2_532BEGINNG_4</vt:lpstr>
      <vt:lpstr>GMIC_22A_SCDPT2SN2!SCDPT2SN2_532BEGINNG_5</vt:lpstr>
      <vt:lpstr>GMIC_22A_SCDPT2SN2!SCDPT2SN2_532BEGINNG_6</vt:lpstr>
      <vt:lpstr>GMIC_22A_SCDPT2SN2!SCDPT2SN2_532BEGINNG_7</vt:lpstr>
      <vt:lpstr>GMIC_22A_SCDPT2SN2!SCDPT2SN2_532BEGINNG_8</vt:lpstr>
      <vt:lpstr>GMIC_22A_SCDPT2SN2!SCDPT2SN2_532BEGINNG_9</vt:lpstr>
      <vt:lpstr>GMIC_22A_SCDPT2SN2!SCDPT2SN2_532ENDINGG_10</vt:lpstr>
      <vt:lpstr>GMIC_22A_SCDPT2SN2!SCDPT2SN2_532ENDINGG_11</vt:lpstr>
      <vt:lpstr>GMIC_22A_SCDPT2SN2!SCDPT2SN2_532ENDINGG_12</vt:lpstr>
      <vt:lpstr>GMIC_22A_SCDPT2SN2!SCDPT2SN2_532ENDINGG_13</vt:lpstr>
      <vt:lpstr>GMIC_22A_SCDPT2SN2!SCDPT2SN2_532ENDINGG_14</vt:lpstr>
      <vt:lpstr>GMIC_22A_SCDPT2SN2!SCDPT2SN2_532ENDINGG_15</vt:lpstr>
      <vt:lpstr>GMIC_22A_SCDPT2SN2!SCDPT2SN2_532ENDINGG_16</vt:lpstr>
      <vt:lpstr>GMIC_22A_SCDPT2SN2!SCDPT2SN2_532ENDINGG_17</vt:lpstr>
      <vt:lpstr>GMIC_22A_SCDPT2SN2!SCDPT2SN2_532ENDINGG_18.01</vt:lpstr>
      <vt:lpstr>GMIC_22A_SCDPT2SN2!SCDPT2SN2_532ENDINGG_18.02</vt:lpstr>
      <vt:lpstr>GMIC_22A_SCDPT2SN2!SCDPT2SN2_532ENDINGG_18.03</vt:lpstr>
      <vt:lpstr>GMIC_22A_SCDPT2SN2!SCDPT2SN2_532ENDINGG_19</vt:lpstr>
      <vt:lpstr>GMIC_22A_SCDPT2SN2!SCDPT2SN2_532ENDINGG_2</vt:lpstr>
      <vt:lpstr>GMIC_22A_SCDPT2SN2!SCDPT2SN2_532ENDINGG_20</vt:lpstr>
      <vt:lpstr>GMIC_22A_SCDPT2SN2!SCDPT2SN2_532ENDINGG_21</vt:lpstr>
      <vt:lpstr>GMIC_22A_SCDPT2SN2!SCDPT2SN2_532ENDINGG_22</vt:lpstr>
      <vt:lpstr>GMIC_22A_SCDPT2SN2!SCDPT2SN2_532ENDINGG_23</vt:lpstr>
      <vt:lpstr>GMIC_22A_SCDPT2SN2!SCDPT2SN2_532ENDINGG_24</vt:lpstr>
      <vt:lpstr>GMIC_22A_SCDPT2SN2!SCDPT2SN2_532ENDINGG_25</vt:lpstr>
      <vt:lpstr>GMIC_22A_SCDPT2SN2!SCDPT2SN2_532ENDINGG_26</vt:lpstr>
      <vt:lpstr>GMIC_22A_SCDPT2SN2!SCDPT2SN2_532ENDINGG_3</vt:lpstr>
      <vt:lpstr>GMIC_22A_SCDPT2SN2!SCDPT2SN2_532ENDINGG_4</vt:lpstr>
      <vt:lpstr>GMIC_22A_SCDPT2SN2!SCDPT2SN2_532ENDINGG_5</vt:lpstr>
      <vt:lpstr>GMIC_22A_SCDPT2SN2!SCDPT2SN2_532ENDINGG_6</vt:lpstr>
      <vt:lpstr>GMIC_22A_SCDPT2SN2!SCDPT2SN2_532ENDINGG_7</vt:lpstr>
      <vt:lpstr>GMIC_22A_SCDPT2SN2!SCDPT2SN2_532ENDINGG_8</vt:lpstr>
      <vt:lpstr>GMIC_22A_SCDPT2SN2!SCDPT2SN2_532ENDINGG_9</vt:lpstr>
      <vt:lpstr>GMIC_22A_SCDPT2SN2!SCDPT2SN2_5409999999_10</vt:lpstr>
      <vt:lpstr>GMIC_22A_SCDPT2SN2!SCDPT2SN2_5409999999_11</vt:lpstr>
      <vt:lpstr>GMIC_22A_SCDPT2SN2!SCDPT2SN2_5409999999_12</vt:lpstr>
      <vt:lpstr>GMIC_22A_SCDPT2SN2!SCDPT2SN2_5409999999_13</vt:lpstr>
      <vt:lpstr>GMIC_22A_SCDPT2SN2!SCDPT2SN2_5409999999_14</vt:lpstr>
      <vt:lpstr>GMIC_22A_SCDPT2SN2!SCDPT2SN2_5409999999_15</vt:lpstr>
      <vt:lpstr>GMIC_22A_SCDPT2SN2!SCDPT2SN2_5409999999_16</vt:lpstr>
      <vt:lpstr>GMIC_22A_SCDPT2SN2!SCDPT2SN2_5409999999_6</vt:lpstr>
      <vt:lpstr>GMIC_22A_SCDPT2SN2!SCDPT2SN2_5409999999_8</vt:lpstr>
      <vt:lpstr>GMIC_22A_SCDPT2SN2!SCDPT2SN2_5409999999_9</vt:lpstr>
      <vt:lpstr>GMIC_22A_SCDPT2SN2!SCDPT2SN2_5510000000_Range</vt:lpstr>
      <vt:lpstr>GMIC_22A_SCDPT2SN2!SCDPT2SN2_5519999999_10</vt:lpstr>
      <vt:lpstr>GMIC_22A_SCDPT2SN2!SCDPT2SN2_5519999999_11</vt:lpstr>
      <vt:lpstr>GMIC_22A_SCDPT2SN2!SCDPT2SN2_5519999999_12</vt:lpstr>
      <vt:lpstr>GMIC_22A_SCDPT2SN2!SCDPT2SN2_5519999999_13</vt:lpstr>
      <vt:lpstr>GMIC_22A_SCDPT2SN2!SCDPT2SN2_5519999999_14</vt:lpstr>
      <vt:lpstr>GMIC_22A_SCDPT2SN2!SCDPT2SN2_5519999999_15</vt:lpstr>
      <vt:lpstr>GMIC_22A_SCDPT2SN2!SCDPT2SN2_5519999999_16</vt:lpstr>
      <vt:lpstr>GMIC_22A_SCDPT2SN2!SCDPT2SN2_5519999999_6</vt:lpstr>
      <vt:lpstr>GMIC_22A_SCDPT2SN2!SCDPT2SN2_5519999999_8</vt:lpstr>
      <vt:lpstr>GMIC_22A_SCDPT2SN2!SCDPT2SN2_5519999999_9</vt:lpstr>
      <vt:lpstr>GMIC_22A_SCDPT2SN2!SCDPT2SN2_551BEGINNG_1</vt:lpstr>
      <vt:lpstr>GMIC_22A_SCDPT2SN2!SCDPT2SN2_551BEGINNG_10</vt:lpstr>
      <vt:lpstr>GMIC_22A_SCDPT2SN2!SCDPT2SN2_551BEGINNG_11</vt:lpstr>
      <vt:lpstr>GMIC_22A_SCDPT2SN2!SCDPT2SN2_551BEGINNG_12</vt:lpstr>
      <vt:lpstr>GMIC_22A_SCDPT2SN2!SCDPT2SN2_551BEGINNG_13</vt:lpstr>
      <vt:lpstr>GMIC_22A_SCDPT2SN2!SCDPT2SN2_551BEGINNG_14</vt:lpstr>
      <vt:lpstr>GMIC_22A_SCDPT2SN2!SCDPT2SN2_551BEGINNG_15</vt:lpstr>
      <vt:lpstr>GMIC_22A_SCDPT2SN2!SCDPT2SN2_551BEGINNG_16</vt:lpstr>
      <vt:lpstr>GMIC_22A_SCDPT2SN2!SCDPT2SN2_551BEGINNG_17</vt:lpstr>
      <vt:lpstr>GMIC_22A_SCDPT2SN2!SCDPT2SN2_551BEGINNG_18.01</vt:lpstr>
      <vt:lpstr>GMIC_22A_SCDPT2SN2!SCDPT2SN2_551BEGINNG_18.02</vt:lpstr>
      <vt:lpstr>GMIC_22A_SCDPT2SN2!SCDPT2SN2_551BEGINNG_18.03</vt:lpstr>
      <vt:lpstr>GMIC_22A_SCDPT2SN2!SCDPT2SN2_551BEGINNG_19</vt:lpstr>
      <vt:lpstr>GMIC_22A_SCDPT2SN2!SCDPT2SN2_551BEGINNG_2</vt:lpstr>
      <vt:lpstr>GMIC_22A_SCDPT2SN2!SCDPT2SN2_551BEGINNG_20</vt:lpstr>
      <vt:lpstr>GMIC_22A_SCDPT2SN2!SCDPT2SN2_551BEGINNG_21</vt:lpstr>
      <vt:lpstr>GMIC_22A_SCDPT2SN2!SCDPT2SN2_551BEGINNG_22</vt:lpstr>
      <vt:lpstr>GMIC_22A_SCDPT2SN2!SCDPT2SN2_551BEGINNG_23</vt:lpstr>
      <vt:lpstr>GMIC_22A_SCDPT2SN2!SCDPT2SN2_551BEGINNG_24</vt:lpstr>
      <vt:lpstr>GMIC_22A_SCDPT2SN2!SCDPT2SN2_551BEGINNG_25</vt:lpstr>
      <vt:lpstr>GMIC_22A_SCDPT2SN2!SCDPT2SN2_551BEGINNG_26</vt:lpstr>
      <vt:lpstr>GMIC_22A_SCDPT2SN2!SCDPT2SN2_551BEGINNG_3</vt:lpstr>
      <vt:lpstr>GMIC_22A_SCDPT2SN2!SCDPT2SN2_551BEGINNG_4</vt:lpstr>
      <vt:lpstr>GMIC_22A_SCDPT2SN2!SCDPT2SN2_551BEGINNG_5</vt:lpstr>
      <vt:lpstr>GMIC_22A_SCDPT2SN2!SCDPT2SN2_551BEGINNG_6</vt:lpstr>
      <vt:lpstr>GMIC_22A_SCDPT2SN2!SCDPT2SN2_551BEGINNG_7</vt:lpstr>
      <vt:lpstr>GMIC_22A_SCDPT2SN2!SCDPT2SN2_551BEGINNG_8</vt:lpstr>
      <vt:lpstr>GMIC_22A_SCDPT2SN2!SCDPT2SN2_551BEGINNG_9</vt:lpstr>
      <vt:lpstr>GMIC_22A_SCDPT2SN2!SCDPT2SN2_551ENDINGG_10</vt:lpstr>
      <vt:lpstr>GMIC_22A_SCDPT2SN2!SCDPT2SN2_551ENDINGG_11</vt:lpstr>
      <vt:lpstr>GMIC_22A_SCDPT2SN2!SCDPT2SN2_551ENDINGG_12</vt:lpstr>
      <vt:lpstr>GMIC_22A_SCDPT2SN2!SCDPT2SN2_551ENDINGG_13</vt:lpstr>
      <vt:lpstr>GMIC_22A_SCDPT2SN2!SCDPT2SN2_551ENDINGG_14</vt:lpstr>
      <vt:lpstr>GMIC_22A_SCDPT2SN2!SCDPT2SN2_551ENDINGG_15</vt:lpstr>
      <vt:lpstr>GMIC_22A_SCDPT2SN2!SCDPT2SN2_551ENDINGG_16</vt:lpstr>
      <vt:lpstr>GMIC_22A_SCDPT2SN2!SCDPT2SN2_551ENDINGG_17</vt:lpstr>
      <vt:lpstr>GMIC_22A_SCDPT2SN2!SCDPT2SN2_551ENDINGG_18.01</vt:lpstr>
      <vt:lpstr>GMIC_22A_SCDPT2SN2!SCDPT2SN2_551ENDINGG_18.02</vt:lpstr>
      <vt:lpstr>GMIC_22A_SCDPT2SN2!SCDPT2SN2_551ENDINGG_18.03</vt:lpstr>
      <vt:lpstr>GMIC_22A_SCDPT2SN2!SCDPT2SN2_551ENDINGG_19</vt:lpstr>
      <vt:lpstr>GMIC_22A_SCDPT2SN2!SCDPT2SN2_551ENDINGG_2</vt:lpstr>
      <vt:lpstr>GMIC_22A_SCDPT2SN2!SCDPT2SN2_551ENDINGG_20</vt:lpstr>
      <vt:lpstr>GMIC_22A_SCDPT2SN2!SCDPT2SN2_551ENDINGG_21</vt:lpstr>
      <vt:lpstr>GMIC_22A_SCDPT2SN2!SCDPT2SN2_551ENDINGG_22</vt:lpstr>
      <vt:lpstr>GMIC_22A_SCDPT2SN2!SCDPT2SN2_551ENDINGG_23</vt:lpstr>
      <vt:lpstr>GMIC_22A_SCDPT2SN2!SCDPT2SN2_551ENDINGG_24</vt:lpstr>
      <vt:lpstr>GMIC_22A_SCDPT2SN2!SCDPT2SN2_551ENDINGG_25</vt:lpstr>
      <vt:lpstr>GMIC_22A_SCDPT2SN2!SCDPT2SN2_551ENDINGG_26</vt:lpstr>
      <vt:lpstr>GMIC_22A_SCDPT2SN2!SCDPT2SN2_551ENDINGG_3</vt:lpstr>
      <vt:lpstr>GMIC_22A_SCDPT2SN2!SCDPT2SN2_551ENDINGG_4</vt:lpstr>
      <vt:lpstr>GMIC_22A_SCDPT2SN2!SCDPT2SN2_551ENDINGG_5</vt:lpstr>
      <vt:lpstr>GMIC_22A_SCDPT2SN2!SCDPT2SN2_551ENDINGG_6</vt:lpstr>
      <vt:lpstr>GMIC_22A_SCDPT2SN2!SCDPT2SN2_551ENDINGG_7</vt:lpstr>
      <vt:lpstr>GMIC_22A_SCDPT2SN2!SCDPT2SN2_551ENDINGG_8</vt:lpstr>
      <vt:lpstr>GMIC_22A_SCDPT2SN2!SCDPT2SN2_551ENDINGG_9</vt:lpstr>
      <vt:lpstr>GMIC_22A_SCDPT2SN2!SCDPT2SN2_5520000000_Range</vt:lpstr>
      <vt:lpstr>GMIC_22A_SCDPT2SN2!SCDPT2SN2_5529999999_10</vt:lpstr>
      <vt:lpstr>GMIC_22A_SCDPT2SN2!SCDPT2SN2_5529999999_11</vt:lpstr>
      <vt:lpstr>GMIC_22A_SCDPT2SN2!SCDPT2SN2_5529999999_12</vt:lpstr>
      <vt:lpstr>GMIC_22A_SCDPT2SN2!SCDPT2SN2_5529999999_13</vt:lpstr>
      <vt:lpstr>GMIC_22A_SCDPT2SN2!SCDPT2SN2_5529999999_14</vt:lpstr>
      <vt:lpstr>GMIC_22A_SCDPT2SN2!SCDPT2SN2_5529999999_15</vt:lpstr>
      <vt:lpstr>GMIC_22A_SCDPT2SN2!SCDPT2SN2_5529999999_16</vt:lpstr>
      <vt:lpstr>GMIC_22A_SCDPT2SN2!SCDPT2SN2_5529999999_6</vt:lpstr>
      <vt:lpstr>GMIC_22A_SCDPT2SN2!SCDPT2SN2_5529999999_8</vt:lpstr>
      <vt:lpstr>GMIC_22A_SCDPT2SN2!SCDPT2SN2_5529999999_9</vt:lpstr>
      <vt:lpstr>GMIC_22A_SCDPT2SN2!SCDPT2SN2_552BEGINNG_1</vt:lpstr>
      <vt:lpstr>GMIC_22A_SCDPT2SN2!SCDPT2SN2_552BEGINNG_10</vt:lpstr>
      <vt:lpstr>GMIC_22A_SCDPT2SN2!SCDPT2SN2_552BEGINNG_11</vt:lpstr>
      <vt:lpstr>GMIC_22A_SCDPT2SN2!SCDPT2SN2_552BEGINNG_12</vt:lpstr>
      <vt:lpstr>GMIC_22A_SCDPT2SN2!SCDPT2SN2_552BEGINNG_13</vt:lpstr>
      <vt:lpstr>GMIC_22A_SCDPT2SN2!SCDPT2SN2_552BEGINNG_14</vt:lpstr>
      <vt:lpstr>GMIC_22A_SCDPT2SN2!SCDPT2SN2_552BEGINNG_15</vt:lpstr>
      <vt:lpstr>GMIC_22A_SCDPT2SN2!SCDPT2SN2_552BEGINNG_16</vt:lpstr>
      <vt:lpstr>GMIC_22A_SCDPT2SN2!SCDPT2SN2_552BEGINNG_17</vt:lpstr>
      <vt:lpstr>GMIC_22A_SCDPT2SN2!SCDPT2SN2_552BEGINNG_18.01</vt:lpstr>
      <vt:lpstr>GMIC_22A_SCDPT2SN2!SCDPT2SN2_552BEGINNG_18.02</vt:lpstr>
      <vt:lpstr>GMIC_22A_SCDPT2SN2!SCDPT2SN2_552BEGINNG_18.03</vt:lpstr>
      <vt:lpstr>GMIC_22A_SCDPT2SN2!SCDPT2SN2_552BEGINNG_19</vt:lpstr>
      <vt:lpstr>GMIC_22A_SCDPT2SN2!SCDPT2SN2_552BEGINNG_2</vt:lpstr>
      <vt:lpstr>GMIC_22A_SCDPT2SN2!SCDPT2SN2_552BEGINNG_20</vt:lpstr>
      <vt:lpstr>GMIC_22A_SCDPT2SN2!SCDPT2SN2_552BEGINNG_21</vt:lpstr>
      <vt:lpstr>GMIC_22A_SCDPT2SN2!SCDPT2SN2_552BEGINNG_22</vt:lpstr>
      <vt:lpstr>GMIC_22A_SCDPT2SN2!SCDPT2SN2_552BEGINNG_23</vt:lpstr>
      <vt:lpstr>GMIC_22A_SCDPT2SN2!SCDPT2SN2_552BEGINNG_24</vt:lpstr>
      <vt:lpstr>GMIC_22A_SCDPT2SN2!SCDPT2SN2_552BEGINNG_25</vt:lpstr>
      <vt:lpstr>GMIC_22A_SCDPT2SN2!SCDPT2SN2_552BEGINNG_26</vt:lpstr>
      <vt:lpstr>GMIC_22A_SCDPT2SN2!SCDPT2SN2_552BEGINNG_3</vt:lpstr>
      <vt:lpstr>GMIC_22A_SCDPT2SN2!SCDPT2SN2_552BEGINNG_4</vt:lpstr>
      <vt:lpstr>GMIC_22A_SCDPT2SN2!SCDPT2SN2_552BEGINNG_5</vt:lpstr>
      <vt:lpstr>GMIC_22A_SCDPT2SN2!SCDPT2SN2_552BEGINNG_6</vt:lpstr>
      <vt:lpstr>GMIC_22A_SCDPT2SN2!SCDPT2SN2_552BEGINNG_7</vt:lpstr>
      <vt:lpstr>GMIC_22A_SCDPT2SN2!SCDPT2SN2_552BEGINNG_8</vt:lpstr>
      <vt:lpstr>GMIC_22A_SCDPT2SN2!SCDPT2SN2_552BEGINNG_9</vt:lpstr>
      <vt:lpstr>GMIC_22A_SCDPT2SN2!SCDPT2SN2_552ENDINGG_10</vt:lpstr>
      <vt:lpstr>GMIC_22A_SCDPT2SN2!SCDPT2SN2_552ENDINGG_11</vt:lpstr>
      <vt:lpstr>GMIC_22A_SCDPT2SN2!SCDPT2SN2_552ENDINGG_12</vt:lpstr>
      <vt:lpstr>GMIC_22A_SCDPT2SN2!SCDPT2SN2_552ENDINGG_13</vt:lpstr>
      <vt:lpstr>GMIC_22A_SCDPT2SN2!SCDPT2SN2_552ENDINGG_14</vt:lpstr>
      <vt:lpstr>GMIC_22A_SCDPT2SN2!SCDPT2SN2_552ENDINGG_15</vt:lpstr>
      <vt:lpstr>GMIC_22A_SCDPT2SN2!SCDPT2SN2_552ENDINGG_16</vt:lpstr>
      <vt:lpstr>GMIC_22A_SCDPT2SN2!SCDPT2SN2_552ENDINGG_17</vt:lpstr>
      <vt:lpstr>GMIC_22A_SCDPT2SN2!SCDPT2SN2_552ENDINGG_18.01</vt:lpstr>
      <vt:lpstr>GMIC_22A_SCDPT2SN2!SCDPT2SN2_552ENDINGG_18.02</vt:lpstr>
      <vt:lpstr>GMIC_22A_SCDPT2SN2!SCDPT2SN2_552ENDINGG_18.03</vt:lpstr>
      <vt:lpstr>GMIC_22A_SCDPT2SN2!SCDPT2SN2_552ENDINGG_19</vt:lpstr>
      <vt:lpstr>GMIC_22A_SCDPT2SN2!SCDPT2SN2_552ENDINGG_2</vt:lpstr>
      <vt:lpstr>GMIC_22A_SCDPT2SN2!SCDPT2SN2_552ENDINGG_20</vt:lpstr>
      <vt:lpstr>GMIC_22A_SCDPT2SN2!SCDPT2SN2_552ENDINGG_21</vt:lpstr>
      <vt:lpstr>GMIC_22A_SCDPT2SN2!SCDPT2SN2_552ENDINGG_22</vt:lpstr>
      <vt:lpstr>GMIC_22A_SCDPT2SN2!SCDPT2SN2_552ENDINGG_23</vt:lpstr>
      <vt:lpstr>GMIC_22A_SCDPT2SN2!SCDPT2SN2_552ENDINGG_24</vt:lpstr>
      <vt:lpstr>GMIC_22A_SCDPT2SN2!SCDPT2SN2_552ENDINGG_25</vt:lpstr>
      <vt:lpstr>GMIC_22A_SCDPT2SN2!SCDPT2SN2_552ENDINGG_26</vt:lpstr>
      <vt:lpstr>GMIC_22A_SCDPT2SN2!SCDPT2SN2_552ENDINGG_3</vt:lpstr>
      <vt:lpstr>GMIC_22A_SCDPT2SN2!SCDPT2SN2_552ENDINGG_4</vt:lpstr>
      <vt:lpstr>GMIC_22A_SCDPT2SN2!SCDPT2SN2_552ENDINGG_5</vt:lpstr>
      <vt:lpstr>GMIC_22A_SCDPT2SN2!SCDPT2SN2_552ENDINGG_6</vt:lpstr>
      <vt:lpstr>GMIC_22A_SCDPT2SN2!SCDPT2SN2_552ENDINGG_7</vt:lpstr>
      <vt:lpstr>GMIC_22A_SCDPT2SN2!SCDPT2SN2_552ENDINGG_8</vt:lpstr>
      <vt:lpstr>GMIC_22A_SCDPT2SN2!SCDPT2SN2_552ENDINGG_9</vt:lpstr>
      <vt:lpstr>GMIC_22A_SCDPT2SN2!SCDPT2SN2_5609999999_10</vt:lpstr>
      <vt:lpstr>GMIC_22A_SCDPT2SN2!SCDPT2SN2_5609999999_11</vt:lpstr>
      <vt:lpstr>GMIC_22A_SCDPT2SN2!SCDPT2SN2_5609999999_12</vt:lpstr>
      <vt:lpstr>GMIC_22A_SCDPT2SN2!SCDPT2SN2_5609999999_13</vt:lpstr>
      <vt:lpstr>GMIC_22A_SCDPT2SN2!SCDPT2SN2_5609999999_14</vt:lpstr>
      <vt:lpstr>GMIC_22A_SCDPT2SN2!SCDPT2SN2_5609999999_15</vt:lpstr>
      <vt:lpstr>GMIC_22A_SCDPT2SN2!SCDPT2SN2_5609999999_16</vt:lpstr>
      <vt:lpstr>GMIC_22A_SCDPT2SN2!SCDPT2SN2_5609999999_6</vt:lpstr>
      <vt:lpstr>GMIC_22A_SCDPT2SN2!SCDPT2SN2_5609999999_8</vt:lpstr>
      <vt:lpstr>GMIC_22A_SCDPT2SN2!SCDPT2SN2_5609999999_9</vt:lpstr>
      <vt:lpstr>GMIC_22A_SCDPT2SN2!SCDPT2SN2_5710000000_Range</vt:lpstr>
      <vt:lpstr>GMIC_22A_SCDPT2SN2!SCDPT2SN2_5719999999_10</vt:lpstr>
      <vt:lpstr>GMIC_22A_SCDPT2SN2!SCDPT2SN2_5719999999_11</vt:lpstr>
      <vt:lpstr>GMIC_22A_SCDPT2SN2!SCDPT2SN2_5719999999_12</vt:lpstr>
      <vt:lpstr>GMIC_22A_SCDPT2SN2!SCDPT2SN2_5719999999_13</vt:lpstr>
      <vt:lpstr>GMIC_22A_SCDPT2SN2!SCDPT2SN2_5719999999_14</vt:lpstr>
      <vt:lpstr>GMIC_22A_SCDPT2SN2!SCDPT2SN2_5719999999_15</vt:lpstr>
      <vt:lpstr>GMIC_22A_SCDPT2SN2!SCDPT2SN2_5719999999_16</vt:lpstr>
      <vt:lpstr>GMIC_22A_SCDPT2SN2!SCDPT2SN2_5719999999_6</vt:lpstr>
      <vt:lpstr>GMIC_22A_SCDPT2SN2!SCDPT2SN2_5719999999_8</vt:lpstr>
      <vt:lpstr>GMIC_22A_SCDPT2SN2!SCDPT2SN2_5719999999_9</vt:lpstr>
      <vt:lpstr>GMIC_22A_SCDPT2SN2!SCDPT2SN2_571BEGINNG_1</vt:lpstr>
      <vt:lpstr>GMIC_22A_SCDPT2SN2!SCDPT2SN2_571BEGINNG_10</vt:lpstr>
      <vt:lpstr>GMIC_22A_SCDPT2SN2!SCDPT2SN2_571BEGINNG_11</vt:lpstr>
      <vt:lpstr>GMIC_22A_SCDPT2SN2!SCDPT2SN2_571BEGINNG_12</vt:lpstr>
      <vt:lpstr>GMIC_22A_SCDPT2SN2!SCDPT2SN2_571BEGINNG_13</vt:lpstr>
      <vt:lpstr>GMIC_22A_SCDPT2SN2!SCDPT2SN2_571BEGINNG_14</vt:lpstr>
      <vt:lpstr>GMIC_22A_SCDPT2SN2!SCDPT2SN2_571BEGINNG_15</vt:lpstr>
      <vt:lpstr>GMIC_22A_SCDPT2SN2!SCDPT2SN2_571BEGINNG_16</vt:lpstr>
      <vt:lpstr>GMIC_22A_SCDPT2SN2!SCDPT2SN2_571BEGINNG_17</vt:lpstr>
      <vt:lpstr>GMIC_22A_SCDPT2SN2!SCDPT2SN2_571BEGINNG_18.01</vt:lpstr>
      <vt:lpstr>GMIC_22A_SCDPT2SN2!SCDPT2SN2_571BEGINNG_18.02</vt:lpstr>
      <vt:lpstr>GMIC_22A_SCDPT2SN2!SCDPT2SN2_571BEGINNG_18.03</vt:lpstr>
      <vt:lpstr>GMIC_22A_SCDPT2SN2!SCDPT2SN2_571BEGINNG_19</vt:lpstr>
      <vt:lpstr>GMIC_22A_SCDPT2SN2!SCDPT2SN2_571BEGINNG_2</vt:lpstr>
      <vt:lpstr>GMIC_22A_SCDPT2SN2!SCDPT2SN2_571BEGINNG_20</vt:lpstr>
      <vt:lpstr>GMIC_22A_SCDPT2SN2!SCDPT2SN2_571BEGINNG_21</vt:lpstr>
      <vt:lpstr>GMIC_22A_SCDPT2SN2!SCDPT2SN2_571BEGINNG_22</vt:lpstr>
      <vt:lpstr>GMIC_22A_SCDPT2SN2!SCDPT2SN2_571BEGINNG_23</vt:lpstr>
      <vt:lpstr>GMIC_22A_SCDPT2SN2!SCDPT2SN2_571BEGINNG_24</vt:lpstr>
      <vt:lpstr>GMIC_22A_SCDPT2SN2!SCDPT2SN2_571BEGINNG_25</vt:lpstr>
      <vt:lpstr>GMIC_22A_SCDPT2SN2!SCDPT2SN2_571BEGINNG_26</vt:lpstr>
      <vt:lpstr>GMIC_22A_SCDPT2SN2!SCDPT2SN2_571BEGINNG_3</vt:lpstr>
      <vt:lpstr>GMIC_22A_SCDPT2SN2!SCDPT2SN2_571BEGINNG_4</vt:lpstr>
      <vt:lpstr>GMIC_22A_SCDPT2SN2!SCDPT2SN2_571BEGINNG_5</vt:lpstr>
      <vt:lpstr>GMIC_22A_SCDPT2SN2!SCDPT2SN2_571BEGINNG_6</vt:lpstr>
      <vt:lpstr>GMIC_22A_SCDPT2SN2!SCDPT2SN2_571BEGINNG_7</vt:lpstr>
      <vt:lpstr>GMIC_22A_SCDPT2SN2!SCDPT2SN2_571BEGINNG_8</vt:lpstr>
      <vt:lpstr>GMIC_22A_SCDPT2SN2!SCDPT2SN2_571BEGINNG_9</vt:lpstr>
      <vt:lpstr>GMIC_22A_SCDPT2SN2!SCDPT2SN2_571ENDINGG_10</vt:lpstr>
      <vt:lpstr>GMIC_22A_SCDPT2SN2!SCDPT2SN2_571ENDINGG_11</vt:lpstr>
      <vt:lpstr>GMIC_22A_SCDPT2SN2!SCDPT2SN2_571ENDINGG_12</vt:lpstr>
      <vt:lpstr>GMIC_22A_SCDPT2SN2!SCDPT2SN2_571ENDINGG_13</vt:lpstr>
      <vt:lpstr>GMIC_22A_SCDPT2SN2!SCDPT2SN2_571ENDINGG_14</vt:lpstr>
      <vt:lpstr>GMIC_22A_SCDPT2SN2!SCDPT2SN2_571ENDINGG_15</vt:lpstr>
      <vt:lpstr>GMIC_22A_SCDPT2SN2!SCDPT2SN2_571ENDINGG_16</vt:lpstr>
      <vt:lpstr>GMIC_22A_SCDPT2SN2!SCDPT2SN2_571ENDINGG_17</vt:lpstr>
      <vt:lpstr>GMIC_22A_SCDPT2SN2!SCDPT2SN2_571ENDINGG_18.01</vt:lpstr>
      <vt:lpstr>GMIC_22A_SCDPT2SN2!SCDPT2SN2_571ENDINGG_18.02</vt:lpstr>
      <vt:lpstr>GMIC_22A_SCDPT2SN2!SCDPT2SN2_571ENDINGG_18.03</vt:lpstr>
      <vt:lpstr>GMIC_22A_SCDPT2SN2!SCDPT2SN2_571ENDINGG_19</vt:lpstr>
      <vt:lpstr>GMIC_22A_SCDPT2SN2!SCDPT2SN2_571ENDINGG_2</vt:lpstr>
      <vt:lpstr>GMIC_22A_SCDPT2SN2!SCDPT2SN2_571ENDINGG_20</vt:lpstr>
      <vt:lpstr>GMIC_22A_SCDPT2SN2!SCDPT2SN2_571ENDINGG_21</vt:lpstr>
      <vt:lpstr>GMIC_22A_SCDPT2SN2!SCDPT2SN2_571ENDINGG_22</vt:lpstr>
      <vt:lpstr>GMIC_22A_SCDPT2SN2!SCDPT2SN2_571ENDINGG_23</vt:lpstr>
      <vt:lpstr>GMIC_22A_SCDPT2SN2!SCDPT2SN2_571ENDINGG_24</vt:lpstr>
      <vt:lpstr>GMIC_22A_SCDPT2SN2!SCDPT2SN2_571ENDINGG_25</vt:lpstr>
      <vt:lpstr>GMIC_22A_SCDPT2SN2!SCDPT2SN2_571ENDINGG_26</vt:lpstr>
      <vt:lpstr>GMIC_22A_SCDPT2SN2!SCDPT2SN2_571ENDINGG_3</vt:lpstr>
      <vt:lpstr>GMIC_22A_SCDPT2SN2!SCDPT2SN2_571ENDINGG_4</vt:lpstr>
      <vt:lpstr>GMIC_22A_SCDPT2SN2!SCDPT2SN2_571ENDINGG_5</vt:lpstr>
      <vt:lpstr>GMIC_22A_SCDPT2SN2!SCDPT2SN2_571ENDINGG_6</vt:lpstr>
      <vt:lpstr>GMIC_22A_SCDPT2SN2!SCDPT2SN2_571ENDINGG_7</vt:lpstr>
      <vt:lpstr>GMIC_22A_SCDPT2SN2!SCDPT2SN2_571ENDINGG_8</vt:lpstr>
      <vt:lpstr>GMIC_22A_SCDPT2SN2!SCDPT2SN2_571ENDINGG_9</vt:lpstr>
      <vt:lpstr>GMIC_22A_SCDPT2SN2!SCDPT2SN2_5720000000_Range</vt:lpstr>
      <vt:lpstr>GMIC_22A_SCDPT2SN2!SCDPT2SN2_5729999999_10</vt:lpstr>
      <vt:lpstr>GMIC_22A_SCDPT2SN2!SCDPT2SN2_5729999999_11</vt:lpstr>
      <vt:lpstr>GMIC_22A_SCDPT2SN2!SCDPT2SN2_5729999999_12</vt:lpstr>
      <vt:lpstr>GMIC_22A_SCDPT2SN2!SCDPT2SN2_5729999999_13</vt:lpstr>
      <vt:lpstr>GMIC_22A_SCDPT2SN2!SCDPT2SN2_5729999999_14</vt:lpstr>
      <vt:lpstr>GMIC_22A_SCDPT2SN2!SCDPT2SN2_5729999999_15</vt:lpstr>
      <vt:lpstr>GMIC_22A_SCDPT2SN2!SCDPT2SN2_5729999999_16</vt:lpstr>
      <vt:lpstr>GMIC_22A_SCDPT2SN2!SCDPT2SN2_5729999999_6</vt:lpstr>
      <vt:lpstr>GMIC_22A_SCDPT2SN2!SCDPT2SN2_5729999999_8</vt:lpstr>
      <vt:lpstr>GMIC_22A_SCDPT2SN2!SCDPT2SN2_5729999999_9</vt:lpstr>
      <vt:lpstr>GMIC_22A_SCDPT2SN2!SCDPT2SN2_572BEGINNG_1</vt:lpstr>
      <vt:lpstr>GMIC_22A_SCDPT2SN2!SCDPT2SN2_572BEGINNG_10</vt:lpstr>
      <vt:lpstr>GMIC_22A_SCDPT2SN2!SCDPT2SN2_572BEGINNG_11</vt:lpstr>
      <vt:lpstr>GMIC_22A_SCDPT2SN2!SCDPT2SN2_572BEGINNG_12</vt:lpstr>
      <vt:lpstr>GMIC_22A_SCDPT2SN2!SCDPT2SN2_572BEGINNG_13</vt:lpstr>
      <vt:lpstr>GMIC_22A_SCDPT2SN2!SCDPT2SN2_572BEGINNG_14</vt:lpstr>
      <vt:lpstr>GMIC_22A_SCDPT2SN2!SCDPT2SN2_572BEGINNG_15</vt:lpstr>
      <vt:lpstr>GMIC_22A_SCDPT2SN2!SCDPT2SN2_572BEGINNG_16</vt:lpstr>
      <vt:lpstr>GMIC_22A_SCDPT2SN2!SCDPT2SN2_572BEGINNG_17</vt:lpstr>
      <vt:lpstr>GMIC_22A_SCDPT2SN2!SCDPT2SN2_572BEGINNG_18.01</vt:lpstr>
      <vt:lpstr>GMIC_22A_SCDPT2SN2!SCDPT2SN2_572BEGINNG_18.02</vt:lpstr>
      <vt:lpstr>GMIC_22A_SCDPT2SN2!SCDPT2SN2_572BEGINNG_18.03</vt:lpstr>
      <vt:lpstr>GMIC_22A_SCDPT2SN2!SCDPT2SN2_572BEGINNG_19</vt:lpstr>
      <vt:lpstr>GMIC_22A_SCDPT2SN2!SCDPT2SN2_572BEGINNG_2</vt:lpstr>
      <vt:lpstr>GMIC_22A_SCDPT2SN2!SCDPT2SN2_572BEGINNG_20</vt:lpstr>
      <vt:lpstr>GMIC_22A_SCDPT2SN2!SCDPT2SN2_572BEGINNG_21</vt:lpstr>
      <vt:lpstr>GMIC_22A_SCDPT2SN2!SCDPT2SN2_572BEGINNG_22</vt:lpstr>
      <vt:lpstr>GMIC_22A_SCDPT2SN2!SCDPT2SN2_572BEGINNG_23</vt:lpstr>
      <vt:lpstr>GMIC_22A_SCDPT2SN2!SCDPT2SN2_572BEGINNG_24</vt:lpstr>
      <vt:lpstr>GMIC_22A_SCDPT2SN2!SCDPT2SN2_572BEGINNG_25</vt:lpstr>
      <vt:lpstr>GMIC_22A_SCDPT2SN2!SCDPT2SN2_572BEGINNG_26</vt:lpstr>
      <vt:lpstr>GMIC_22A_SCDPT2SN2!SCDPT2SN2_572BEGINNG_3</vt:lpstr>
      <vt:lpstr>GMIC_22A_SCDPT2SN2!SCDPT2SN2_572BEGINNG_4</vt:lpstr>
      <vt:lpstr>GMIC_22A_SCDPT2SN2!SCDPT2SN2_572BEGINNG_5</vt:lpstr>
      <vt:lpstr>GMIC_22A_SCDPT2SN2!SCDPT2SN2_572BEGINNG_6</vt:lpstr>
      <vt:lpstr>GMIC_22A_SCDPT2SN2!SCDPT2SN2_572BEGINNG_7</vt:lpstr>
      <vt:lpstr>GMIC_22A_SCDPT2SN2!SCDPT2SN2_572BEGINNG_8</vt:lpstr>
      <vt:lpstr>GMIC_22A_SCDPT2SN2!SCDPT2SN2_572BEGINNG_9</vt:lpstr>
      <vt:lpstr>GMIC_22A_SCDPT2SN2!SCDPT2SN2_572ENDINGG_10</vt:lpstr>
      <vt:lpstr>GMIC_22A_SCDPT2SN2!SCDPT2SN2_572ENDINGG_11</vt:lpstr>
      <vt:lpstr>GMIC_22A_SCDPT2SN2!SCDPT2SN2_572ENDINGG_12</vt:lpstr>
      <vt:lpstr>GMIC_22A_SCDPT2SN2!SCDPT2SN2_572ENDINGG_13</vt:lpstr>
      <vt:lpstr>GMIC_22A_SCDPT2SN2!SCDPT2SN2_572ENDINGG_14</vt:lpstr>
      <vt:lpstr>GMIC_22A_SCDPT2SN2!SCDPT2SN2_572ENDINGG_15</vt:lpstr>
      <vt:lpstr>GMIC_22A_SCDPT2SN2!SCDPT2SN2_572ENDINGG_16</vt:lpstr>
      <vt:lpstr>GMIC_22A_SCDPT2SN2!SCDPT2SN2_572ENDINGG_17</vt:lpstr>
      <vt:lpstr>GMIC_22A_SCDPT2SN2!SCDPT2SN2_572ENDINGG_18.01</vt:lpstr>
      <vt:lpstr>GMIC_22A_SCDPT2SN2!SCDPT2SN2_572ENDINGG_18.02</vt:lpstr>
      <vt:lpstr>GMIC_22A_SCDPT2SN2!SCDPT2SN2_572ENDINGG_18.03</vt:lpstr>
      <vt:lpstr>GMIC_22A_SCDPT2SN2!SCDPT2SN2_572ENDINGG_19</vt:lpstr>
      <vt:lpstr>GMIC_22A_SCDPT2SN2!SCDPT2SN2_572ENDINGG_2</vt:lpstr>
      <vt:lpstr>GMIC_22A_SCDPT2SN2!SCDPT2SN2_572ENDINGG_20</vt:lpstr>
      <vt:lpstr>GMIC_22A_SCDPT2SN2!SCDPT2SN2_572ENDINGG_21</vt:lpstr>
      <vt:lpstr>GMIC_22A_SCDPT2SN2!SCDPT2SN2_572ENDINGG_22</vt:lpstr>
      <vt:lpstr>GMIC_22A_SCDPT2SN2!SCDPT2SN2_572ENDINGG_23</vt:lpstr>
      <vt:lpstr>GMIC_22A_SCDPT2SN2!SCDPT2SN2_572ENDINGG_24</vt:lpstr>
      <vt:lpstr>GMIC_22A_SCDPT2SN2!SCDPT2SN2_572ENDINGG_25</vt:lpstr>
      <vt:lpstr>GMIC_22A_SCDPT2SN2!SCDPT2SN2_572ENDINGG_26</vt:lpstr>
      <vt:lpstr>GMIC_22A_SCDPT2SN2!SCDPT2SN2_572ENDINGG_3</vt:lpstr>
      <vt:lpstr>GMIC_22A_SCDPT2SN2!SCDPT2SN2_572ENDINGG_4</vt:lpstr>
      <vt:lpstr>GMIC_22A_SCDPT2SN2!SCDPT2SN2_572ENDINGG_5</vt:lpstr>
      <vt:lpstr>GMIC_22A_SCDPT2SN2!SCDPT2SN2_572ENDINGG_6</vt:lpstr>
      <vt:lpstr>GMIC_22A_SCDPT2SN2!SCDPT2SN2_572ENDINGG_7</vt:lpstr>
      <vt:lpstr>GMIC_22A_SCDPT2SN2!SCDPT2SN2_572ENDINGG_8</vt:lpstr>
      <vt:lpstr>GMIC_22A_SCDPT2SN2!SCDPT2SN2_572ENDINGG_9</vt:lpstr>
      <vt:lpstr>GMIC_22A_SCDPT2SN2!SCDPT2SN2_5809999999_10</vt:lpstr>
      <vt:lpstr>GMIC_22A_SCDPT2SN2!SCDPT2SN2_5809999999_11</vt:lpstr>
      <vt:lpstr>GMIC_22A_SCDPT2SN2!SCDPT2SN2_5809999999_12</vt:lpstr>
      <vt:lpstr>GMIC_22A_SCDPT2SN2!SCDPT2SN2_5809999999_13</vt:lpstr>
      <vt:lpstr>GMIC_22A_SCDPT2SN2!SCDPT2SN2_5809999999_14</vt:lpstr>
      <vt:lpstr>GMIC_22A_SCDPT2SN2!SCDPT2SN2_5809999999_15</vt:lpstr>
      <vt:lpstr>GMIC_22A_SCDPT2SN2!SCDPT2SN2_5809999999_16</vt:lpstr>
      <vt:lpstr>GMIC_22A_SCDPT2SN2!SCDPT2SN2_5809999999_6</vt:lpstr>
      <vt:lpstr>GMIC_22A_SCDPT2SN2!SCDPT2SN2_5809999999_8</vt:lpstr>
      <vt:lpstr>GMIC_22A_SCDPT2SN2!SCDPT2SN2_5809999999_9</vt:lpstr>
      <vt:lpstr>GMIC_22A_SCDPT2SN2!SCDPT2SN2_5810000000_Range</vt:lpstr>
      <vt:lpstr>GMIC_22A_SCDPT2SN2!SCDPT2SN2_5819999999_10</vt:lpstr>
      <vt:lpstr>GMIC_22A_SCDPT2SN2!SCDPT2SN2_5819999999_11</vt:lpstr>
      <vt:lpstr>GMIC_22A_SCDPT2SN2!SCDPT2SN2_5819999999_12</vt:lpstr>
      <vt:lpstr>GMIC_22A_SCDPT2SN2!SCDPT2SN2_5819999999_13</vt:lpstr>
      <vt:lpstr>GMIC_22A_SCDPT2SN2!SCDPT2SN2_5819999999_14</vt:lpstr>
      <vt:lpstr>GMIC_22A_SCDPT2SN2!SCDPT2SN2_5819999999_15</vt:lpstr>
      <vt:lpstr>GMIC_22A_SCDPT2SN2!SCDPT2SN2_5819999999_16</vt:lpstr>
      <vt:lpstr>GMIC_22A_SCDPT2SN2!SCDPT2SN2_5819999999_6</vt:lpstr>
      <vt:lpstr>GMIC_22A_SCDPT2SN2!SCDPT2SN2_5819999999_8</vt:lpstr>
      <vt:lpstr>GMIC_22A_SCDPT2SN2!SCDPT2SN2_5819999999_9</vt:lpstr>
      <vt:lpstr>GMIC_22A_SCDPT2SN2!SCDPT2SN2_581BEGINNG_1</vt:lpstr>
      <vt:lpstr>GMIC_22A_SCDPT2SN2!SCDPT2SN2_581BEGINNG_10</vt:lpstr>
      <vt:lpstr>GMIC_22A_SCDPT2SN2!SCDPT2SN2_581BEGINNG_11</vt:lpstr>
      <vt:lpstr>GMIC_22A_SCDPT2SN2!SCDPT2SN2_581BEGINNG_12</vt:lpstr>
      <vt:lpstr>GMIC_22A_SCDPT2SN2!SCDPT2SN2_581BEGINNG_13</vt:lpstr>
      <vt:lpstr>GMIC_22A_SCDPT2SN2!SCDPT2SN2_581BEGINNG_14</vt:lpstr>
      <vt:lpstr>GMIC_22A_SCDPT2SN2!SCDPT2SN2_581BEGINNG_15</vt:lpstr>
      <vt:lpstr>GMIC_22A_SCDPT2SN2!SCDPT2SN2_581BEGINNG_16</vt:lpstr>
      <vt:lpstr>GMIC_22A_SCDPT2SN2!SCDPT2SN2_581BEGINNG_17</vt:lpstr>
      <vt:lpstr>GMIC_22A_SCDPT2SN2!SCDPT2SN2_581BEGINNG_18.01</vt:lpstr>
      <vt:lpstr>GMIC_22A_SCDPT2SN2!SCDPT2SN2_581BEGINNG_18.02</vt:lpstr>
      <vt:lpstr>GMIC_22A_SCDPT2SN2!SCDPT2SN2_581BEGINNG_18.03</vt:lpstr>
      <vt:lpstr>GMIC_22A_SCDPT2SN2!SCDPT2SN2_581BEGINNG_19</vt:lpstr>
      <vt:lpstr>GMIC_22A_SCDPT2SN2!SCDPT2SN2_581BEGINNG_2</vt:lpstr>
      <vt:lpstr>GMIC_22A_SCDPT2SN2!SCDPT2SN2_581BEGINNG_20</vt:lpstr>
      <vt:lpstr>GMIC_22A_SCDPT2SN2!SCDPT2SN2_581BEGINNG_21</vt:lpstr>
      <vt:lpstr>GMIC_22A_SCDPT2SN2!SCDPT2SN2_581BEGINNG_22</vt:lpstr>
      <vt:lpstr>GMIC_22A_SCDPT2SN2!SCDPT2SN2_581BEGINNG_23</vt:lpstr>
      <vt:lpstr>GMIC_22A_SCDPT2SN2!SCDPT2SN2_581BEGINNG_24</vt:lpstr>
      <vt:lpstr>GMIC_22A_SCDPT2SN2!SCDPT2SN2_581BEGINNG_25</vt:lpstr>
      <vt:lpstr>GMIC_22A_SCDPT2SN2!SCDPT2SN2_581BEGINNG_26</vt:lpstr>
      <vt:lpstr>GMIC_22A_SCDPT2SN2!SCDPT2SN2_581BEGINNG_3</vt:lpstr>
      <vt:lpstr>GMIC_22A_SCDPT2SN2!SCDPT2SN2_581BEGINNG_4</vt:lpstr>
      <vt:lpstr>GMIC_22A_SCDPT2SN2!SCDPT2SN2_581BEGINNG_5</vt:lpstr>
      <vt:lpstr>GMIC_22A_SCDPT2SN2!SCDPT2SN2_581BEGINNG_6</vt:lpstr>
      <vt:lpstr>GMIC_22A_SCDPT2SN2!SCDPT2SN2_581BEGINNG_7</vt:lpstr>
      <vt:lpstr>GMIC_22A_SCDPT2SN2!SCDPT2SN2_581BEGINNG_8</vt:lpstr>
      <vt:lpstr>GMIC_22A_SCDPT2SN2!SCDPT2SN2_581BEGINNG_9</vt:lpstr>
      <vt:lpstr>GMIC_22A_SCDPT2SN2!SCDPT2SN2_581ENDINGG_10</vt:lpstr>
      <vt:lpstr>GMIC_22A_SCDPT2SN2!SCDPT2SN2_581ENDINGG_11</vt:lpstr>
      <vt:lpstr>GMIC_22A_SCDPT2SN2!SCDPT2SN2_581ENDINGG_12</vt:lpstr>
      <vt:lpstr>GMIC_22A_SCDPT2SN2!SCDPT2SN2_581ENDINGG_13</vt:lpstr>
      <vt:lpstr>GMIC_22A_SCDPT2SN2!SCDPT2SN2_581ENDINGG_14</vt:lpstr>
      <vt:lpstr>GMIC_22A_SCDPT2SN2!SCDPT2SN2_581ENDINGG_15</vt:lpstr>
      <vt:lpstr>GMIC_22A_SCDPT2SN2!SCDPT2SN2_581ENDINGG_16</vt:lpstr>
      <vt:lpstr>GMIC_22A_SCDPT2SN2!SCDPT2SN2_581ENDINGG_17</vt:lpstr>
      <vt:lpstr>GMIC_22A_SCDPT2SN2!SCDPT2SN2_581ENDINGG_18.01</vt:lpstr>
      <vt:lpstr>GMIC_22A_SCDPT2SN2!SCDPT2SN2_581ENDINGG_18.02</vt:lpstr>
      <vt:lpstr>GMIC_22A_SCDPT2SN2!SCDPT2SN2_581ENDINGG_18.03</vt:lpstr>
      <vt:lpstr>GMIC_22A_SCDPT2SN2!SCDPT2SN2_581ENDINGG_19</vt:lpstr>
      <vt:lpstr>GMIC_22A_SCDPT2SN2!SCDPT2SN2_581ENDINGG_2</vt:lpstr>
      <vt:lpstr>GMIC_22A_SCDPT2SN2!SCDPT2SN2_581ENDINGG_20</vt:lpstr>
      <vt:lpstr>GMIC_22A_SCDPT2SN2!SCDPT2SN2_581ENDINGG_21</vt:lpstr>
      <vt:lpstr>GMIC_22A_SCDPT2SN2!SCDPT2SN2_581ENDINGG_22</vt:lpstr>
      <vt:lpstr>GMIC_22A_SCDPT2SN2!SCDPT2SN2_581ENDINGG_23</vt:lpstr>
      <vt:lpstr>GMIC_22A_SCDPT2SN2!SCDPT2SN2_581ENDINGG_24</vt:lpstr>
      <vt:lpstr>GMIC_22A_SCDPT2SN2!SCDPT2SN2_581ENDINGG_25</vt:lpstr>
      <vt:lpstr>GMIC_22A_SCDPT2SN2!SCDPT2SN2_581ENDINGG_26</vt:lpstr>
      <vt:lpstr>GMIC_22A_SCDPT2SN2!SCDPT2SN2_581ENDINGG_3</vt:lpstr>
      <vt:lpstr>GMIC_22A_SCDPT2SN2!SCDPT2SN2_581ENDINGG_4</vt:lpstr>
      <vt:lpstr>GMIC_22A_SCDPT2SN2!SCDPT2SN2_581ENDINGG_5</vt:lpstr>
      <vt:lpstr>GMIC_22A_SCDPT2SN2!SCDPT2SN2_581ENDINGG_6</vt:lpstr>
      <vt:lpstr>GMIC_22A_SCDPT2SN2!SCDPT2SN2_581ENDINGG_7</vt:lpstr>
      <vt:lpstr>GMIC_22A_SCDPT2SN2!SCDPT2SN2_581ENDINGG_8</vt:lpstr>
      <vt:lpstr>GMIC_22A_SCDPT2SN2!SCDPT2SN2_581ENDINGG_9</vt:lpstr>
      <vt:lpstr>GMIC_22A_SCDPT2SN2!SCDPT2SN2_5910000000_Range</vt:lpstr>
      <vt:lpstr>GMIC_22A_SCDPT2SN2!SCDPT2SN2_5919999999_10</vt:lpstr>
      <vt:lpstr>GMIC_22A_SCDPT2SN2!SCDPT2SN2_5919999999_11</vt:lpstr>
      <vt:lpstr>GMIC_22A_SCDPT2SN2!SCDPT2SN2_5919999999_12</vt:lpstr>
      <vt:lpstr>GMIC_22A_SCDPT2SN2!SCDPT2SN2_5919999999_13</vt:lpstr>
      <vt:lpstr>GMIC_22A_SCDPT2SN2!SCDPT2SN2_5919999999_14</vt:lpstr>
      <vt:lpstr>GMIC_22A_SCDPT2SN2!SCDPT2SN2_5919999999_15</vt:lpstr>
      <vt:lpstr>GMIC_22A_SCDPT2SN2!SCDPT2SN2_5919999999_16</vt:lpstr>
      <vt:lpstr>GMIC_22A_SCDPT2SN2!SCDPT2SN2_5919999999_6</vt:lpstr>
      <vt:lpstr>GMIC_22A_SCDPT2SN2!SCDPT2SN2_5919999999_8</vt:lpstr>
      <vt:lpstr>GMIC_22A_SCDPT2SN2!SCDPT2SN2_5919999999_9</vt:lpstr>
      <vt:lpstr>GMIC_22A_SCDPT2SN2!SCDPT2SN2_591BEGINNG_1</vt:lpstr>
      <vt:lpstr>GMIC_22A_SCDPT2SN2!SCDPT2SN2_591BEGINNG_10</vt:lpstr>
      <vt:lpstr>GMIC_22A_SCDPT2SN2!SCDPT2SN2_591BEGINNG_11</vt:lpstr>
      <vt:lpstr>GMIC_22A_SCDPT2SN2!SCDPT2SN2_591BEGINNG_12</vt:lpstr>
      <vt:lpstr>GMIC_22A_SCDPT2SN2!SCDPT2SN2_591BEGINNG_13</vt:lpstr>
      <vt:lpstr>GMIC_22A_SCDPT2SN2!SCDPT2SN2_591BEGINNG_14</vt:lpstr>
      <vt:lpstr>GMIC_22A_SCDPT2SN2!SCDPT2SN2_591BEGINNG_15</vt:lpstr>
      <vt:lpstr>GMIC_22A_SCDPT2SN2!SCDPT2SN2_591BEGINNG_16</vt:lpstr>
      <vt:lpstr>GMIC_22A_SCDPT2SN2!SCDPT2SN2_591BEGINNG_17</vt:lpstr>
      <vt:lpstr>GMIC_22A_SCDPT2SN2!SCDPT2SN2_591BEGINNG_18.01</vt:lpstr>
      <vt:lpstr>GMIC_22A_SCDPT2SN2!SCDPT2SN2_591BEGINNG_18.02</vt:lpstr>
      <vt:lpstr>GMIC_22A_SCDPT2SN2!SCDPT2SN2_591BEGINNG_18.03</vt:lpstr>
      <vt:lpstr>GMIC_22A_SCDPT2SN2!SCDPT2SN2_591BEGINNG_19</vt:lpstr>
      <vt:lpstr>GMIC_22A_SCDPT2SN2!SCDPT2SN2_591BEGINNG_2</vt:lpstr>
      <vt:lpstr>GMIC_22A_SCDPT2SN2!SCDPT2SN2_591BEGINNG_20</vt:lpstr>
      <vt:lpstr>GMIC_22A_SCDPT2SN2!SCDPT2SN2_591BEGINNG_21</vt:lpstr>
      <vt:lpstr>GMIC_22A_SCDPT2SN2!SCDPT2SN2_591BEGINNG_22</vt:lpstr>
      <vt:lpstr>GMIC_22A_SCDPT2SN2!SCDPT2SN2_591BEGINNG_23</vt:lpstr>
      <vt:lpstr>GMIC_22A_SCDPT2SN2!SCDPT2SN2_591BEGINNG_24</vt:lpstr>
      <vt:lpstr>GMIC_22A_SCDPT2SN2!SCDPT2SN2_591BEGINNG_25</vt:lpstr>
      <vt:lpstr>GMIC_22A_SCDPT2SN2!SCDPT2SN2_591BEGINNG_26</vt:lpstr>
      <vt:lpstr>GMIC_22A_SCDPT2SN2!SCDPT2SN2_591BEGINNG_3</vt:lpstr>
      <vt:lpstr>GMIC_22A_SCDPT2SN2!SCDPT2SN2_591BEGINNG_4</vt:lpstr>
      <vt:lpstr>GMIC_22A_SCDPT2SN2!SCDPT2SN2_591BEGINNG_5</vt:lpstr>
      <vt:lpstr>GMIC_22A_SCDPT2SN2!SCDPT2SN2_591BEGINNG_6</vt:lpstr>
      <vt:lpstr>GMIC_22A_SCDPT2SN2!SCDPT2SN2_591BEGINNG_7</vt:lpstr>
      <vt:lpstr>GMIC_22A_SCDPT2SN2!SCDPT2SN2_591BEGINNG_8</vt:lpstr>
      <vt:lpstr>GMIC_22A_SCDPT2SN2!SCDPT2SN2_591BEGINNG_9</vt:lpstr>
      <vt:lpstr>GMIC_22A_SCDPT2SN2!SCDPT2SN2_591ENDINGG_10</vt:lpstr>
      <vt:lpstr>GMIC_22A_SCDPT2SN2!SCDPT2SN2_591ENDINGG_11</vt:lpstr>
      <vt:lpstr>GMIC_22A_SCDPT2SN2!SCDPT2SN2_591ENDINGG_12</vt:lpstr>
      <vt:lpstr>GMIC_22A_SCDPT2SN2!SCDPT2SN2_591ENDINGG_13</vt:lpstr>
      <vt:lpstr>GMIC_22A_SCDPT2SN2!SCDPT2SN2_591ENDINGG_14</vt:lpstr>
      <vt:lpstr>GMIC_22A_SCDPT2SN2!SCDPT2SN2_591ENDINGG_15</vt:lpstr>
      <vt:lpstr>GMIC_22A_SCDPT2SN2!SCDPT2SN2_591ENDINGG_16</vt:lpstr>
      <vt:lpstr>GMIC_22A_SCDPT2SN2!SCDPT2SN2_591ENDINGG_17</vt:lpstr>
      <vt:lpstr>GMIC_22A_SCDPT2SN2!SCDPT2SN2_591ENDINGG_18.01</vt:lpstr>
      <vt:lpstr>GMIC_22A_SCDPT2SN2!SCDPT2SN2_591ENDINGG_18.02</vt:lpstr>
      <vt:lpstr>GMIC_22A_SCDPT2SN2!SCDPT2SN2_591ENDINGG_18.03</vt:lpstr>
      <vt:lpstr>GMIC_22A_SCDPT2SN2!SCDPT2SN2_591ENDINGG_19</vt:lpstr>
      <vt:lpstr>GMIC_22A_SCDPT2SN2!SCDPT2SN2_591ENDINGG_2</vt:lpstr>
      <vt:lpstr>GMIC_22A_SCDPT2SN2!SCDPT2SN2_591ENDINGG_20</vt:lpstr>
      <vt:lpstr>GMIC_22A_SCDPT2SN2!SCDPT2SN2_591ENDINGG_21</vt:lpstr>
      <vt:lpstr>GMIC_22A_SCDPT2SN2!SCDPT2SN2_591ENDINGG_22</vt:lpstr>
      <vt:lpstr>GMIC_22A_SCDPT2SN2!SCDPT2SN2_591ENDINGG_23</vt:lpstr>
      <vt:lpstr>GMIC_22A_SCDPT2SN2!SCDPT2SN2_591ENDINGG_24</vt:lpstr>
      <vt:lpstr>GMIC_22A_SCDPT2SN2!SCDPT2SN2_591ENDINGG_25</vt:lpstr>
      <vt:lpstr>GMIC_22A_SCDPT2SN2!SCDPT2SN2_591ENDINGG_26</vt:lpstr>
      <vt:lpstr>GMIC_22A_SCDPT2SN2!SCDPT2SN2_591ENDINGG_3</vt:lpstr>
      <vt:lpstr>GMIC_22A_SCDPT2SN2!SCDPT2SN2_591ENDINGG_4</vt:lpstr>
      <vt:lpstr>GMIC_22A_SCDPT2SN2!SCDPT2SN2_591ENDINGG_5</vt:lpstr>
      <vt:lpstr>GMIC_22A_SCDPT2SN2!SCDPT2SN2_591ENDINGG_6</vt:lpstr>
      <vt:lpstr>GMIC_22A_SCDPT2SN2!SCDPT2SN2_591ENDINGG_7</vt:lpstr>
      <vt:lpstr>GMIC_22A_SCDPT2SN2!SCDPT2SN2_591ENDINGG_8</vt:lpstr>
      <vt:lpstr>GMIC_22A_SCDPT2SN2!SCDPT2SN2_591ENDINGG_9</vt:lpstr>
      <vt:lpstr>GMIC_22A_SCDPT2SN2!SCDPT2SN2_5920000000_Range</vt:lpstr>
      <vt:lpstr>GMIC_22A_SCDPT2SN2!SCDPT2SN2_5920000001_1</vt:lpstr>
      <vt:lpstr>GMIC_22A_SCDPT2SN2!SCDPT2SN2_5920000001_10</vt:lpstr>
      <vt:lpstr>GMIC_22A_SCDPT2SN2!SCDPT2SN2_5920000001_11</vt:lpstr>
      <vt:lpstr>GMIC_22A_SCDPT2SN2!SCDPT2SN2_5920000001_12</vt:lpstr>
      <vt:lpstr>GMIC_22A_SCDPT2SN2!SCDPT2SN2_5920000001_13</vt:lpstr>
      <vt:lpstr>GMIC_22A_SCDPT2SN2!SCDPT2SN2_5920000001_14</vt:lpstr>
      <vt:lpstr>GMIC_22A_SCDPT2SN2!SCDPT2SN2_5920000001_15</vt:lpstr>
      <vt:lpstr>GMIC_22A_SCDPT2SN2!SCDPT2SN2_5920000001_16</vt:lpstr>
      <vt:lpstr>GMIC_22A_SCDPT2SN2!SCDPT2SN2_5920000001_17</vt:lpstr>
      <vt:lpstr>GMIC_22A_SCDPT2SN2!SCDPT2SN2_5920000001_19</vt:lpstr>
      <vt:lpstr>GMIC_22A_SCDPT2SN2!SCDPT2SN2_5920000001_2</vt:lpstr>
      <vt:lpstr>GMIC_22A_SCDPT2SN2!SCDPT2SN2_5920000001_20</vt:lpstr>
      <vt:lpstr>GMIC_22A_SCDPT2SN2!SCDPT2SN2_5920000001_21</vt:lpstr>
      <vt:lpstr>GMIC_22A_SCDPT2SN2!SCDPT2SN2_5920000001_22</vt:lpstr>
      <vt:lpstr>GMIC_22A_SCDPT2SN2!SCDPT2SN2_5920000001_23</vt:lpstr>
      <vt:lpstr>GMIC_22A_SCDPT2SN2!SCDPT2SN2_5920000001_24</vt:lpstr>
      <vt:lpstr>GMIC_22A_SCDPT2SN2!SCDPT2SN2_5920000001_25</vt:lpstr>
      <vt:lpstr>GMIC_22A_SCDPT2SN2!SCDPT2SN2_5920000001_3</vt:lpstr>
      <vt:lpstr>GMIC_22A_SCDPT2SN2!SCDPT2SN2_5920000001_4</vt:lpstr>
      <vt:lpstr>GMIC_22A_SCDPT2SN2!SCDPT2SN2_5920000001_5</vt:lpstr>
      <vt:lpstr>GMIC_22A_SCDPT2SN2!SCDPT2SN2_5920000001_6</vt:lpstr>
      <vt:lpstr>GMIC_22A_SCDPT2SN2!SCDPT2SN2_5920000001_7</vt:lpstr>
      <vt:lpstr>GMIC_22A_SCDPT2SN2!SCDPT2SN2_5920000001_8</vt:lpstr>
      <vt:lpstr>GMIC_22A_SCDPT2SN2!SCDPT2SN2_5920000001_9</vt:lpstr>
      <vt:lpstr>GMIC_22A_SCDPT2SN2!SCDPT2SN2_5929999999_10</vt:lpstr>
      <vt:lpstr>GMIC_22A_SCDPT2SN2!SCDPT2SN2_5929999999_11</vt:lpstr>
      <vt:lpstr>GMIC_22A_SCDPT2SN2!SCDPT2SN2_5929999999_12</vt:lpstr>
      <vt:lpstr>GMIC_22A_SCDPT2SN2!SCDPT2SN2_5929999999_13</vt:lpstr>
      <vt:lpstr>GMIC_22A_SCDPT2SN2!SCDPT2SN2_5929999999_14</vt:lpstr>
      <vt:lpstr>GMIC_22A_SCDPT2SN2!SCDPT2SN2_5929999999_15</vt:lpstr>
      <vt:lpstr>GMIC_22A_SCDPT2SN2!SCDPT2SN2_5929999999_16</vt:lpstr>
      <vt:lpstr>GMIC_22A_SCDPT2SN2!SCDPT2SN2_5929999999_6</vt:lpstr>
      <vt:lpstr>GMIC_22A_SCDPT2SN2!SCDPT2SN2_5929999999_8</vt:lpstr>
      <vt:lpstr>GMIC_22A_SCDPT2SN2!SCDPT2SN2_5929999999_9</vt:lpstr>
      <vt:lpstr>GMIC_22A_SCDPT2SN2!SCDPT2SN2_592BEGINNG_1</vt:lpstr>
      <vt:lpstr>GMIC_22A_SCDPT2SN2!SCDPT2SN2_592BEGINNG_10</vt:lpstr>
      <vt:lpstr>GMIC_22A_SCDPT2SN2!SCDPT2SN2_592BEGINNG_11</vt:lpstr>
      <vt:lpstr>GMIC_22A_SCDPT2SN2!SCDPT2SN2_592BEGINNG_12</vt:lpstr>
      <vt:lpstr>GMIC_22A_SCDPT2SN2!SCDPT2SN2_592BEGINNG_13</vt:lpstr>
      <vt:lpstr>GMIC_22A_SCDPT2SN2!SCDPT2SN2_592BEGINNG_14</vt:lpstr>
      <vt:lpstr>GMIC_22A_SCDPT2SN2!SCDPT2SN2_592BEGINNG_15</vt:lpstr>
      <vt:lpstr>GMIC_22A_SCDPT2SN2!SCDPT2SN2_592BEGINNG_16</vt:lpstr>
      <vt:lpstr>GMIC_22A_SCDPT2SN2!SCDPT2SN2_592BEGINNG_17</vt:lpstr>
      <vt:lpstr>GMIC_22A_SCDPT2SN2!SCDPT2SN2_592BEGINNG_18.01</vt:lpstr>
      <vt:lpstr>GMIC_22A_SCDPT2SN2!SCDPT2SN2_592BEGINNG_18.02</vt:lpstr>
      <vt:lpstr>GMIC_22A_SCDPT2SN2!SCDPT2SN2_592BEGINNG_18.03</vt:lpstr>
      <vt:lpstr>GMIC_22A_SCDPT2SN2!SCDPT2SN2_592BEGINNG_19</vt:lpstr>
      <vt:lpstr>GMIC_22A_SCDPT2SN2!SCDPT2SN2_592BEGINNG_2</vt:lpstr>
      <vt:lpstr>GMIC_22A_SCDPT2SN2!SCDPT2SN2_592BEGINNG_20</vt:lpstr>
      <vt:lpstr>GMIC_22A_SCDPT2SN2!SCDPT2SN2_592BEGINNG_21</vt:lpstr>
      <vt:lpstr>GMIC_22A_SCDPT2SN2!SCDPT2SN2_592BEGINNG_22</vt:lpstr>
      <vt:lpstr>GMIC_22A_SCDPT2SN2!SCDPT2SN2_592BEGINNG_23</vt:lpstr>
      <vt:lpstr>GMIC_22A_SCDPT2SN2!SCDPT2SN2_592BEGINNG_24</vt:lpstr>
      <vt:lpstr>GMIC_22A_SCDPT2SN2!SCDPT2SN2_592BEGINNG_25</vt:lpstr>
      <vt:lpstr>GMIC_22A_SCDPT2SN2!SCDPT2SN2_592BEGINNG_26</vt:lpstr>
      <vt:lpstr>GMIC_22A_SCDPT2SN2!SCDPT2SN2_592BEGINNG_3</vt:lpstr>
      <vt:lpstr>GMIC_22A_SCDPT2SN2!SCDPT2SN2_592BEGINNG_4</vt:lpstr>
      <vt:lpstr>GMIC_22A_SCDPT2SN2!SCDPT2SN2_592BEGINNG_5</vt:lpstr>
      <vt:lpstr>GMIC_22A_SCDPT2SN2!SCDPT2SN2_592BEGINNG_6</vt:lpstr>
      <vt:lpstr>GMIC_22A_SCDPT2SN2!SCDPT2SN2_592BEGINNG_7</vt:lpstr>
      <vt:lpstr>GMIC_22A_SCDPT2SN2!SCDPT2SN2_592BEGINNG_8</vt:lpstr>
      <vt:lpstr>GMIC_22A_SCDPT2SN2!SCDPT2SN2_592BEGINNG_9</vt:lpstr>
      <vt:lpstr>GMIC_22A_SCDPT2SN2!SCDPT2SN2_592ENDINGG_10</vt:lpstr>
      <vt:lpstr>GMIC_22A_SCDPT2SN2!SCDPT2SN2_592ENDINGG_11</vt:lpstr>
      <vt:lpstr>GMIC_22A_SCDPT2SN2!SCDPT2SN2_592ENDINGG_12</vt:lpstr>
      <vt:lpstr>GMIC_22A_SCDPT2SN2!SCDPT2SN2_592ENDINGG_13</vt:lpstr>
      <vt:lpstr>GMIC_22A_SCDPT2SN2!SCDPT2SN2_592ENDINGG_14</vt:lpstr>
      <vt:lpstr>GMIC_22A_SCDPT2SN2!SCDPT2SN2_592ENDINGG_15</vt:lpstr>
      <vt:lpstr>GMIC_22A_SCDPT2SN2!SCDPT2SN2_592ENDINGG_16</vt:lpstr>
      <vt:lpstr>GMIC_22A_SCDPT2SN2!SCDPT2SN2_592ENDINGG_17</vt:lpstr>
      <vt:lpstr>GMIC_22A_SCDPT2SN2!SCDPT2SN2_592ENDINGG_18.01</vt:lpstr>
      <vt:lpstr>GMIC_22A_SCDPT2SN2!SCDPT2SN2_592ENDINGG_18.02</vt:lpstr>
      <vt:lpstr>GMIC_22A_SCDPT2SN2!SCDPT2SN2_592ENDINGG_18.03</vt:lpstr>
      <vt:lpstr>GMIC_22A_SCDPT2SN2!SCDPT2SN2_592ENDINGG_19</vt:lpstr>
      <vt:lpstr>GMIC_22A_SCDPT2SN2!SCDPT2SN2_592ENDINGG_2</vt:lpstr>
      <vt:lpstr>GMIC_22A_SCDPT2SN2!SCDPT2SN2_592ENDINGG_20</vt:lpstr>
      <vt:lpstr>GMIC_22A_SCDPT2SN2!SCDPT2SN2_592ENDINGG_21</vt:lpstr>
      <vt:lpstr>GMIC_22A_SCDPT2SN2!SCDPT2SN2_592ENDINGG_22</vt:lpstr>
      <vt:lpstr>GMIC_22A_SCDPT2SN2!SCDPT2SN2_592ENDINGG_23</vt:lpstr>
      <vt:lpstr>GMIC_22A_SCDPT2SN2!SCDPT2SN2_592ENDINGG_24</vt:lpstr>
      <vt:lpstr>GMIC_22A_SCDPT2SN2!SCDPT2SN2_592ENDINGG_25</vt:lpstr>
      <vt:lpstr>GMIC_22A_SCDPT2SN2!SCDPT2SN2_592ENDINGG_26</vt:lpstr>
      <vt:lpstr>GMIC_22A_SCDPT2SN2!SCDPT2SN2_592ENDINGG_3</vt:lpstr>
      <vt:lpstr>GMIC_22A_SCDPT2SN2!SCDPT2SN2_592ENDINGG_4</vt:lpstr>
      <vt:lpstr>GMIC_22A_SCDPT2SN2!SCDPT2SN2_592ENDINGG_5</vt:lpstr>
      <vt:lpstr>GMIC_22A_SCDPT2SN2!SCDPT2SN2_592ENDINGG_6</vt:lpstr>
      <vt:lpstr>GMIC_22A_SCDPT2SN2!SCDPT2SN2_592ENDINGG_7</vt:lpstr>
      <vt:lpstr>GMIC_22A_SCDPT2SN2!SCDPT2SN2_592ENDINGG_8</vt:lpstr>
      <vt:lpstr>GMIC_22A_SCDPT2SN2!SCDPT2SN2_592ENDINGG_9</vt:lpstr>
      <vt:lpstr>GMIC_22A_SCDPT2SN2!SCDPT2SN2_5979999999_10</vt:lpstr>
      <vt:lpstr>GMIC_22A_SCDPT2SN2!SCDPT2SN2_5979999999_11</vt:lpstr>
      <vt:lpstr>GMIC_22A_SCDPT2SN2!SCDPT2SN2_5979999999_12</vt:lpstr>
      <vt:lpstr>GMIC_22A_SCDPT2SN2!SCDPT2SN2_5979999999_13</vt:lpstr>
      <vt:lpstr>GMIC_22A_SCDPT2SN2!SCDPT2SN2_5979999999_14</vt:lpstr>
      <vt:lpstr>GMIC_22A_SCDPT2SN2!SCDPT2SN2_5979999999_15</vt:lpstr>
      <vt:lpstr>GMIC_22A_SCDPT2SN2!SCDPT2SN2_5979999999_16</vt:lpstr>
      <vt:lpstr>GMIC_22A_SCDPT2SN2!SCDPT2SN2_5979999999_6</vt:lpstr>
      <vt:lpstr>GMIC_22A_SCDPT2SN2!SCDPT2SN2_5979999999_8</vt:lpstr>
      <vt:lpstr>GMIC_22A_SCDPT2SN2!SCDPT2SN2_5979999999_9</vt:lpstr>
      <vt:lpstr>GMIC_22A_SCDPT2SN2!SCDPT2SN2_5989999999_10</vt:lpstr>
      <vt:lpstr>GMIC_22A_SCDPT2SN2!SCDPT2SN2_5989999999_11</vt:lpstr>
      <vt:lpstr>GMIC_22A_SCDPT2SN2!SCDPT2SN2_5989999999_12</vt:lpstr>
      <vt:lpstr>GMIC_22A_SCDPT2SN2!SCDPT2SN2_5989999999_13</vt:lpstr>
      <vt:lpstr>GMIC_22A_SCDPT2SN2!SCDPT2SN2_5989999999_14</vt:lpstr>
      <vt:lpstr>GMIC_22A_SCDPT2SN2!SCDPT2SN2_5989999999_15</vt:lpstr>
      <vt:lpstr>GMIC_22A_SCDPT2SN2!SCDPT2SN2_5989999999_16</vt:lpstr>
      <vt:lpstr>GMIC_22A_SCDPT2SN2!SCDPT2SN2_5989999999_6</vt:lpstr>
      <vt:lpstr>GMIC_22A_SCDPT2SN2!SCDPT2SN2_5989999999_8</vt:lpstr>
      <vt:lpstr>GMIC_22A_SCDPT2SN2!SCDPT2SN2_5989999999_9</vt:lpstr>
      <vt:lpstr>GMIC_22A_SCDPT2SN2!SCDPT2SN2_5999999999_10</vt:lpstr>
      <vt:lpstr>GMIC_22A_SCDPT2SN2!SCDPT2SN2_5999999999_11</vt:lpstr>
      <vt:lpstr>GMIC_22A_SCDPT2SN2!SCDPT2SN2_5999999999_12</vt:lpstr>
      <vt:lpstr>GMIC_22A_SCDPT2SN2!SCDPT2SN2_5999999999_13</vt:lpstr>
      <vt:lpstr>GMIC_22A_SCDPT2SN2!SCDPT2SN2_5999999999_14</vt:lpstr>
      <vt:lpstr>GMIC_22A_SCDPT2SN2!SCDPT2SN2_5999999999_15</vt:lpstr>
      <vt:lpstr>GMIC_22A_SCDPT2SN2!SCDPT2SN2_5999999999_16</vt:lpstr>
      <vt:lpstr>GMIC_22A_SCDPT2SN2!SCDPT2SN2_5999999999_6</vt:lpstr>
      <vt:lpstr>GMIC_22A_SCDPT2SN2!SCDPT2SN2_5999999999_8</vt:lpstr>
      <vt:lpstr>GMIC_22A_SCDPT2SN2!SCDPT2SN2_5999999999_9</vt:lpstr>
      <vt:lpstr>GMIC_22A_SCDPT2SN2F!SCDPT2SN2F_000001A_1</vt:lpstr>
      <vt:lpstr>GMIC_22A_SCDPT2SN2F!SCDPT2SN2F_000001A_2</vt:lpstr>
      <vt:lpstr>GMIC_22A_SCDPT2SN2F!SCDPT2SN2F_000001A_3</vt:lpstr>
      <vt:lpstr>GMIC_22A_SCDPT2SN2F!SCDPT2SN2F_000001A_4</vt:lpstr>
      <vt:lpstr>GMIC_22A_SCDPT2SN2F!SCDPT2SN2F_000001A_5</vt:lpstr>
      <vt:lpstr>GMIC_22A_SCDPT2SN2F!SCDPT2SN2F_000001A_6</vt:lpstr>
      <vt:lpstr>GMIC_22A_SCDPT2SN2F!SCDPT2SN2F_000001A_7</vt:lpstr>
      <vt:lpstr>GMIC_22A_SCDPT2SN2F!SCDPT2SN2F_000001B_1</vt:lpstr>
      <vt:lpstr>GMIC_22A_SCDPT2SN2F!SCDPT2SN2F_000001B_2</vt:lpstr>
      <vt:lpstr>GMIC_22A_SCDPT2SN2F!SCDPT2SN2F_000001B_3</vt:lpstr>
      <vt:lpstr>GMIC_22A_SCDPT2SN2F!SCDPT2SN2F_000001C_1</vt:lpstr>
      <vt:lpstr>GMIC_22A_SCDPT2SN2F!SCDPT2SN2F_000001C_2</vt:lpstr>
      <vt:lpstr>GMIC_22A_SCDPT2SN2F!SCDPT2SN2F_000001C_3</vt:lpstr>
      <vt:lpstr>GMIC_22A_SCDPT2SN2F!SCDPT2SN2F_000001D_1</vt:lpstr>
      <vt:lpstr>GMIC_22A_SCDPT2SN2F!SCDPT2SN2F_000001D_2</vt:lpstr>
      <vt:lpstr>GMIC_22A_SCDPT2SN2F!SCDPT2SN2F_000001D_3</vt:lpstr>
      <vt:lpstr>GMIC_22A_SCDPT2SN2F!SCDPT2SN2F_000001E_1</vt:lpstr>
      <vt:lpstr>GMIC_22A_SCDPT2SN2F!SCDPT2SN2F_000001E_2</vt:lpstr>
      <vt:lpstr>GMIC_22A_SCDPT2SN2F!SCDPT2SN2F_000001E_3</vt:lpstr>
      <vt:lpstr>GMIC_22A_SCDPT2SN2F!SCDPT2SN2F_000001F_1</vt:lpstr>
      <vt:lpstr>GMIC_22A_SCDPT3!SCDPT3_0100000000_Range</vt:lpstr>
      <vt:lpstr>GMIC_22A_SCDPT3!SCDPT3_0109999999_7</vt:lpstr>
      <vt:lpstr>GMIC_22A_SCDPT3!SCDPT3_0109999999_8</vt:lpstr>
      <vt:lpstr>GMIC_22A_SCDPT3!SCDPT3_0109999999_9</vt:lpstr>
      <vt:lpstr>GMIC_22A_SCDPT3!SCDPT3_010BEGINNG_1</vt:lpstr>
      <vt:lpstr>GMIC_22A_SCDPT3!SCDPT3_010BEGINNG_10</vt:lpstr>
      <vt:lpstr>GMIC_22A_SCDPT3!SCDPT3_010BEGINNG_11</vt:lpstr>
      <vt:lpstr>GMIC_22A_SCDPT3!SCDPT3_010BEGINNG_12</vt:lpstr>
      <vt:lpstr>GMIC_22A_SCDPT3!SCDPT3_010BEGINNG_13</vt:lpstr>
      <vt:lpstr>GMIC_22A_SCDPT3!SCDPT3_010BEGINNG_14</vt:lpstr>
      <vt:lpstr>GMIC_22A_SCDPT3!SCDPT3_010BEGINNG_15</vt:lpstr>
      <vt:lpstr>GMIC_22A_SCDPT3!SCDPT3_010BEGINNG_2</vt:lpstr>
      <vt:lpstr>GMIC_22A_SCDPT3!SCDPT3_010BEGINNG_3</vt:lpstr>
      <vt:lpstr>GMIC_22A_SCDPT3!SCDPT3_010BEGINNG_4</vt:lpstr>
      <vt:lpstr>GMIC_22A_SCDPT3!SCDPT3_010BEGINNG_5</vt:lpstr>
      <vt:lpstr>GMIC_22A_SCDPT3!SCDPT3_010BEGINNG_6</vt:lpstr>
      <vt:lpstr>GMIC_22A_SCDPT3!SCDPT3_010BEGINNG_7</vt:lpstr>
      <vt:lpstr>GMIC_22A_SCDPT3!SCDPT3_010BEGINNG_8</vt:lpstr>
      <vt:lpstr>GMIC_22A_SCDPT3!SCDPT3_010BEGINNG_9</vt:lpstr>
      <vt:lpstr>GMIC_22A_SCDPT3!SCDPT3_010ENDINGG_10</vt:lpstr>
      <vt:lpstr>GMIC_22A_SCDPT3!SCDPT3_010ENDINGG_11</vt:lpstr>
      <vt:lpstr>GMIC_22A_SCDPT3!SCDPT3_010ENDINGG_12</vt:lpstr>
      <vt:lpstr>GMIC_22A_SCDPT3!SCDPT3_010ENDINGG_13</vt:lpstr>
      <vt:lpstr>GMIC_22A_SCDPT3!SCDPT3_010ENDINGG_14</vt:lpstr>
      <vt:lpstr>GMIC_22A_SCDPT3!SCDPT3_010ENDINGG_15</vt:lpstr>
      <vt:lpstr>GMIC_22A_SCDPT3!SCDPT3_010ENDINGG_2</vt:lpstr>
      <vt:lpstr>GMIC_22A_SCDPT3!SCDPT3_010ENDINGG_3</vt:lpstr>
      <vt:lpstr>GMIC_22A_SCDPT3!SCDPT3_010ENDINGG_4</vt:lpstr>
      <vt:lpstr>GMIC_22A_SCDPT3!SCDPT3_010ENDINGG_5</vt:lpstr>
      <vt:lpstr>GMIC_22A_SCDPT3!SCDPT3_010ENDINGG_6</vt:lpstr>
      <vt:lpstr>GMIC_22A_SCDPT3!SCDPT3_010ENDINGG_7</vt:lpstr>
      <vt:lpstr>GMIC_22A_SCDPT3!SCDPT3_010ENDINGG_8</vt:lpstr>
      <vt:lpstr>GMIC_22A_SCDPT3!SCDPT3_010ENDINGG_9</vt:lpstr>
      <vt:lpstr>GMIC_22A_SCDPT3!SCDPT3_0300000000_Range</vt:lpstr>
      <vt:lpstr>GMIC_22A_SCDPT3!SCDPT3_0309999999_7</vt:lpstr>
      <vt:lpstr>GMIC_22A_SCDPT3!SCDPT3_0309999999_8</vt:lpstr>
      <vt:lpstr>GMIC_22A_SCDPT3!SCDPT3_0309999999_9</vt:lpstr>
      <vt:lpstr>GMIC_22A_SCDPT3!SCDPT3_030BEGINNG_1</vt:lpstr>
      <vt:lpstr>GMIC_22A_SCDPT3!SCDPT3_030BEGINNG_10</vt:lpstr>
      <vt:lpstr>GMIC_22A_SCDPT3!SCDPT3_030BEGINNG_11</vt:lpstr>
      <vt:lpstr>GMIC_22A_SCDPT3!SCDPT3_030BEGINNG_12</vt:lpstr>
      <vt:lpstr>GMIC_22A_SCDPT3!SCDPT3_030BEGINNG_13</vt:lpstr>
      <vt:lpstr>GMIC_22A_SCDPT3!SCDPT3_030BEGINNG_14</vt:lpstr>
      <vt:lpstr>GMIC_22A_SCDPT3!SCDPT3_030BEGINNG_15</vt:lpstr>
      <vt:lpstr>GMIC_22A_SCDPT3!SCDPT3_030BEGINNG_2</vt:lpstr>
      <vt:lpstr>GMIC_22A_SCDPT3!SCDPT3_030BEGINNG_3</vt:lpstr>
      <vt:lpstr>GMIC_22A_SCDPT3!SCDPT3_030BEGINNG_4</vt:lpstr>
      <vt:lpstr>GMIC_22A_SCDPT3!SCDPT3_030BEGINNG_5</vt:lpstr>
      <vt:lpstr>GMIC_22A_SCDPT3!SCDPT3_030BEGINNG_6</vt:lpstr>
      <vt:lpstr>GMIC_22A_SCDPT3!SCDPT3_030BEGINNG_7</vt:lpstr>
      <vt:lpstr>GMIC_22A_SCDPT3!SCDPT3_030BEGINNG_8</vt:lpstr>
      <vt:lpstr>GMIC_22A_SCDPT3!SCDPT3_030BEGINNG_9</vt:lpstr>
      <vt:lpstr>GMIC_22A_SCDPT3!SCDPT3_030ENDINGG_10</vt:lpstr>
      <vt:lpstr>GMIC_22A_SCDPT3!SCDPT3_030ENDINGG_11</vt:lpstr>
      <vt:lpstr>GMIC_22A_SCDPT3!SCDPT3_030ENDINGG_12</vt:lpstr>
      <vt:lpstr>GMIC_22A_SCDPT3!SCDPT3_030ENDINGG_13</vt:lpstr>
      <vt:lpstr>GMIC_22A_SCDPT3!SCDPT3_030ENDINGG_14</vt:lpstr>
      <vt:lpstr>GMIC_22A_SCDPT3!SCDPT3_030ENDINGG_15</vt:lpstr>
      <vt:lpstr>GMIC_22A_SCDPT3!SCDPT3_030ENDINGG_2</vt:lpstr>
      <vt:lpstr>GMIC_22A_SCDPT3!SCDPT3_030ENDINGG_3</vt:lpstr>
      <vt:lpstr>GMIC_22A_SCDPT3!SCDPT3_030ENDINGG_4</vt:lpstr>
      <vt:lpstr>GMIC_22A_SCDPT3!SCDPT3_030ENDINGG_5</vt:lpstr>
      <vt:lpstr>GMIC_22A_SCDPT3!SCDPT3_030ENDINGG_6</vt:lpstr>
      <vt:lpstr>GMIC_22A_SCDPT3!SCDPT3_030ENDINGG_7</vt:lpstr>
      <vt:lpstr>GMIC_22A_SCDPT3!SCDPT3_030ENDINGG_8</vt:lpstr>
      <vt:lpstr>GMIC_22A_SCDPT3!SCDPT3_030ENDINGG_9</vt:lpstr>
      <vt:lpstr>GMIC_22A_SCDPT3!SCDPT3_0500000000_Range</vt:lpstr>
      <vt:lpstr>GMIC_22A_SCDPT3!SCDPT3_0509999999_7</vt:lpstr>
      <vt:lpstr>GMIC_22A_SCDPT3!SCDPT3_0509999999_8</vt:lpstr>
      <vt:lpstr>GMIC_22A_SCDPT3!SCDPT3_0509999999_9</vt:lpstr>
      <vt:lpstr>GMIC_22A_SCDPT3!SCDPT3_050BEGINNG_1</vt:lpstr>
      <vt:lpstr>GMIC_22A_SCDPT3!SCDPT3_050BEGINNG_10</vt:lpstr>
      <vt:lpstr>GMIC_22A_SCDPT3!SCDPT3_050BEGINNG_11</vt:lpstr>
      <vt:lpstr>GMIC_22A_SCDPT3!SCDPT3_050BEGINNG_12</vt:lpstr>
      <vt:lpstr>GMIC_22A_SCDPT3!SCDPT3_050BEGINNG_13</vt:lpstr>
      <vt:lpstr>GMIC_22A_SCDPT3!SCDPT3_050BEGINNG_14</vt:lpstr>
      <vt:lpstr>GMIC_22A_SCDPT3!SCDPT3_050BEGINNG_15</vt:lpstr>
      <vt:lpstr>GMIC_22A_SCDPT3!SCDPT3_050BEGINNG_2</vt:lpstr>
      <vt:lpstr>GMIC_22A_SCDPT3!SCDPT3_050BEGINNG_3</vt:lpstr>
      <vt:lpstr>GMIC_22A_SCDPT3!SCDPT3_050BEGINNG_4</vt:lpstr>
      <vt:lpstr>GMIC_22A_SCDPT3!SCDPT3_050BEGINNG_5</vt:lpstr>
      <vt:lpstr>GMIC_22A_SCDPT3!SCDPT3_050BEGINNG_6</vt:lpstr>
      <vt:lpstr>GMIC_22A_SCDPT3!SCDPT3_050BEGINNG_7</vt:lpstr>
      <vt:lpstr>GMIC_22A_SCDPT3!SCDPT3_050BEGINNG_8</vt:lpstr>
      <vt:lpstr>GMIC_22A_SCDPT3!SCDPT3_050BEGINNG_9</vt:lpstr>
      <vt:lpstr>GMIC_22A_SCDPT3!SCDPT3_050ENDINGG_10</vt:lpstr>
      <vt:lpstr>GMIC_22A_SCDPT3!SCDPT3_050ENDINGG_11</vt:lpstr>
      <vt:lpstr>GMIC_22A_SCDPT3!SCDPT3_050ENDINGG_12</vt:lpstr>
      <vt:lpstr>GMIC_22A_SCDPT3!SCDPT3_050ENDINGG_13</vt:lpstr>
      <vt:lpstr>GMIC_22A_SCDPT3!SCDPT3_050ENDINGG_14</vt:lpstr>
      <vt:lpstr>GMIC_22A_SCDPT3!SCDPT3_050ENDINGG_15</vt:lpstr>
      <vt:lpstr>GMIC_22A_SCDPT3!SCDPT3_050ENDINGG_2</vt:lpstr>
      <vt:lpstr>GMIC_22A_SCDPT3!SCDPT3_050ENDINGG_3</vt:lpstr>
      <vt:lpstr>GMIC_22A_SCDPT3!SCDPT3_050ENDINGG_4</vt:lpstr>
      <vt:lpstr>GMIC_22A_SCDPT3!SCDPT3_050ENDINGG_5</vt:lpstr>
      <vt:lpstr>GMIC_22A_SCDPT3!SCDPT3_050ENDINGG_6</vt:lpstr>
      <vt:lpstr>GMIC_22A_SCDPT3!SCDPT3_050ENDINGG_7</vt:lpstr>
      <vt:lpstr>GMIC_22A_SCDPT3!SCDPT3_050ENDINGG_8</vt:lpstr>
      <vt:lpstr>GMIC_22A_SCDPT3!SCDPT3_050ENDINGG_9</vt:lpstr>
      <vt:lpstr>GMIC_22A_SCDPT3!SCDPT3_0700000000_Range</vt:lpstr>
      <vt:lpstr>GMIC_22A_SCDPT3!SCDPT3_0709999999_7</vt:lpstr>
      <vt:lpstr>GMIC_22A_SCDPT3!SCDPT3_0709999999_8</vt:lpstr>
      <vt:lpstr>GMIC_22A_SCDPT3!SCDPT3_0709999999_9</vt:lpstr>
      <vt:lpstr>GMIC_22A_SCDPT3!SCDPT3_070BEGINNG_1</vt:lpstr>
      <vt:lpstr>GMIC_22A_SCDPT3!SCDPT3_070BEGINNG_10</vt:lpstr>
      <vt:lpstr>GMIC_22A_SCDPT3!SCDPT3_070BEGINNG_11</vt:lpstr>
      <vt:lpstr>GMIC_22A_SCDPT3!SCDPT3_070BEGINNG_12</vt:lpstr>
      <vt:lpstr>GMIC_22A_SCDPT3!SCDPT3_070BEGINNG_13</vt:lpstr>
      <vt:lpstr>GMIC_22A_SCDPT3!SCDPT3_070BEGINNG_14</vt:lpstr>
      <vt:lpstr>GMIC_22A_SCDPT3!SCDPT3_070BEGINNG_15</vt:lpstr>
      <vt:lpstr>GMIC_22A_SCDPT3!SCDPT3_070BEGINNG_2</vt:lpstr>
      <vt:lpstr>GMIC_22A_SCDPT3!SCDPT3_070BEGINNG_3</vt:lpstr>
      <vt:lpstr>GMIC_22A_SCDPT3!SCDPT3_070BEGINNG_4</vt:lpstr>
      <vt:lpstr>GMIC_22A_SCDPT3!SCDPT3_070BEGINNG_5</vt:lpstr>
      <vt:lpstr>GMIC_22A_SCDPT3!SCDPT3_070BEGINNG_6</vt:lpstr>
      <vt:lpstr>GMIC_22A_SCDPT3!SCDPT3_070BEGINNG_7</vt:lpstr>
      <vt:lpstr>GMIC_22A_SCDPT3!SCDPT3_070BEGINNG_8</vt:lpstr>
      <vt:lpstr>GMIC_22A_SCDPT3!SCDPT3_070BEGINNG_9</vt:lpstr>
      <vt:lpstr>GMIC_22A_SCDPT3!SCDPT3_070ENDINGG_10</vt:lpstr>
      <vt:lpstr>GMIC_22A_SCDPT3!SCDPT3_070ENDINGG_11</vt:lpstr>
      <vt:lpstr>GMIC_22A_SCDPT3!SCDPT3_070ENDINGG_12</vt:lpstr>
      <vt:lpstr>GMIC_22A_SCDPT3!SCDPT3_070ENDINGG_13</vt:lpstr>
      <vt:lpstr>GMIC_22A_SCDPT3!SCDPT3_070ENDINGG_14</vt:lpstr>
      <vt:lpstr>GMIC_22A_SCDPT3!SCDPT3_070ENDINGG_15</vt:lpstr>
      <vt:lpstr>GMIC_22A_SCDPT3!SCDPT3_070ENDINGG_2</vt:lpstr>
      <vt:lpstr>GMIC_22A_SCDPT3!SCDPT3_070ENDINGG_3</vt:lpstr>
      <vt:lpstr>GMIC_22A_SCDPT3!SCDPT3_070ENDINGG_4</vt:lpstr>
      <vt:lpstr>GMIC_22A_SCDPT3!SCDPT3_070ENDINGG_5</vt:lpstr>
      <vt:lpstr>GMIC_22A_SCDPT3!SCDPT3_070ENDINGG_6</vt:lpstr>
      <vt:lpstr>GMIC_22A_SCDPT3!SCDPT3_070ENDINGG_7</vt:lpstr>
      <vt:lpstr>GMIC_22A_SCDPT3!SCDPT3_070ENDINGG_8</vt:lpstr>
      <vt:lpstr>GMIC_22A_SCDPT3!SCDPT3_070ENDINGG_9</vt:lpstr>
      <vt:lpstr>GMIC_22A_SCDPT3!SCDPT3_0900000000_Range</vt:lpstr>
      <vt:lpstr>GMIC_22A_SCDPT3!SCDPT3_0900000001_1</vt:lpstr>
      <vt:lpstr>GMIC_22A_SCDPT3!SCDPT3_0900000001_10</vt:lpstr>
      <vt:lpstr>GMIC_22A_SCDPT3!SCDPT3_0900000001_11</vt:lpstr>
      <vt:lpstr>GMIC_22A_SCDPT3!SCDPT3_0900000001_12</vt:lpstr>
      <vt:lpstr>GMIC_22A_SCDPT3!SCDPT3_0900000001_13</vt:lpstr>
      <vt:lpstr>GMIC_22A_SCDPT3!SCDPT3_0900000001_14</vt:lpstr>
      <vt:lpstr>GMIC_22A_SCDPT3!SCDPT3_0900000001_15</vt:lpstr>
      <vt:lpstr>GMIC_22A_SCDPT3!SCDPT3_0900000001_2</vt:lpstr>
      <vt:lpstr>GMIC_22A_SCDPT3!SCDPT3_0900000001_3</vt:lpstr>
      <vt:lpstr>GMIC_22A_SCDPT3!SCDPT3_0900000001_4</vt:lpstr>
      <vt:lpstr>GMIC_22A_SCDPT3!SCDPT3_0900000001_5</vt:lpstr>
      <vt:lpstr>GMIC_22A_SCDPT3!SCDPT3_0900000001_7</vt:lpstr>
      <vt:lpstr>GMIC_22A_SCDPT3!SCDPT3_0900000001_8</vt:lpstr>
      <vt:lpstr>GMIC_22A_SCDPT3!SCDPT3_0900000001_9</vt:lpstr>
      <vt:lpstr>GMIC_22A_SCDPT3!SCDPT3_0909999999_7</vt:lpstr>
      <vt:lpstr>GMIC_22A_SCDPT3!SCDPT3_0909999999_8</vt:lpstr>
      <vt:lpstr>GMIC_22A_SCDPT3!SCDPT3_0909999999_9</vt:lpstr>
      <vt:lpstr>GMIC_22A_SCDPT3!SCDPT3_090BEGINNG_1</vt:lpstr>
      <vt:lpstr>GMIC_22A_SCDPT3!SCDPT3_090BEGINNG_10</vt:lpstr>
      <vt:lpstr>GMIC_22A_SCDPT3!SCDPT3_090BEGINNG_11</vt:lpstr>
      <vt:lpstr>GMIC_22A_SCDPT3!SCDPT3_090BEGINNG_12</vt:lpstr>
      <vt:lpstr>GMIC_22A_SCDPT3!SCDPT3_090BEGINNG_13</vt:lpstr>
      <vt:lpstr>GMIC_22A_SCDPT3!SCDPT3_090BEGINNG_14</vt:lpstr>
      <vt:lpstr>GMIC_22A_SCDPT3!SCDPT3_090BEGINNG_15</vt:lpstr>
      <vt:lpstr>GMIC_22A_SCDPT3!SCDPT3_090BEGINNG_2</vt:lpstr>
      <vt:lpstr>GMIC_22A_SCDPT3!SCDPT3_090BEGINNG_3</vt:lpstr>
      <vt:lpstr>GMIC_22A_SCDPT3!SCDPT3_090BEGINNG_4</vt:lpstr>
      <vt:lpstr>GMIC_22A_SCDPT3!SCDPT3_090BEGINNG_5</vt:lpstr>
      <vt:lpstr>GMIC_22A_SCDPT3!SCDPT3_090BEGINNG_6</vt:lpstr>
      <vt:lpstr>GMIC_22A_SCDPT3!SCDPT3_090BEGINNG_7</vt:lpstr>
      <vt:lpstr>GMIC_22A_SCDPT3!SCDPT3_090BEGINNG_8</vt:lpstr>
      <vt:lpstr>GMIC_22A_SCDPT3!SCDPT3_090BEGINNG_9</vt:lpstr>
      <vt:lpstr>GMIC_22A_SCDPT3!SCDPT3_090ENDINGG_10</vt:lpstr>
      <vt:lpstr>GMIC_22A_SCDPT3!SCDPT3_090ENDINGG_11</vt:lpstr>
      <vt:lpstr>GMIC_22A_SCDPT3!SCDPT3_090ENDINGG_12</vt:lpstr>
      <vt:lpstr>GMIC_22A_SCDPT3!SCDPT3_090ENDINGG_13</vt:lpstr>
      <vt:lpstr>GMIC_22A_SCDPT3!SCDPT3_090ENDINGG_14</vt:lpstr>
      <vt:lpstr>GMIC_22A_SCDPT3!SCDPT3_090ENDINGG_15</vt:lpstr>
      <vt:lpstr>GMIC_22A_SCDPT3!SCDPT3_090ENDINGG_2</vt:lpstr>
      <vt:lpstr>GMIC_22A_SCDPT3!SCDPT3_090ENDINGG_3</vt:lpstr>
      <vt:lpstr>GMIC_22A_SCDPT3!SCDPT3_090ENDINGG_4</vt:lpstr>
      <vt:lpstr>GMIC_22A_SCDPT3!SCDPT3_090ENDINGG_5</vt:lpstr>
      <vt:lpstr>GMIC_22A_SCDPT3!SCDPT3_090ENDINGG_6</vt:lpstr>
      <vt:lpstr>GMIC_22A_SCDPT3!SCDPT3_090ENDINGG_7</vt:lpstr>
      <vt:lpstr>GMIC_22A_SCDPT3!SCDPT3_090ENDINGG_8</vt:lpstr>
      <vt:lpstr>GMIC_22A_SCDPT3!SCDPT3_090ENDINGG_9</vt:lpstr>
      <vt:lpstr>GMIC_22A_SCDPT3!SCDPT3_1100000000_Range</vt:lpstr>
      <vt:lpstr>GMIC_22A_SCDPT3!SCDPT3_1100000001_1</vt:lpstr>
      <vt:lpstr>GMIC_22A_SCDPT3!SCDPT3_1100000001_11</vt:lpstr>
      <vt:lpstr>GMIC_22A_SCDPT3!SCDPT3_1100000001_12</vt:lpstr>
      <vt:lpstr>GMIC_22A_SCDPT3!SCDPT3_1100000001_13</vt:lpstr>
      <vt:lpstr>GMIC_22A_SCDPT3!SCDPT3_1100000001_14</vt:lpstr>
      <vt:lpstr>GMIC_22A_SCDPT3!SCDPT3_1100000001_15</vt:lpstr>
      <vt:lpstr>GMIC_22A_SCDPT3!SCDPT3_1100000001_2</vt:lpstr>
      <vt:lpstr>GMIC_22A_SCDPT3!SCDPT3_1100000001_3</vt:lpstr>
      <vt:lpstr>GMIC_22A_SCDPT3!SCDPT3_1100000001_4</vt:lpstr>
      <vt:lpstr>GMIC_22A_SCDPT3!SCDPT3_1100000001_5</vt:lpstr>
      <vt:lpstr>GMIC_22A_SCDPT3!SCDPT3_1100000001_7</vt:lpstr>
      <vt:lpstr>GMIC_22A_SCDPT3!SCDPT3_1100000001_8</vt:lpstr>
      <vt:lpstr>GMIC_22A_SCDPT3!SCDPT3_1100000001_9</vt:lpstr>
      <vt:lpstr>GMIC_22A_SCDPT3!SCDPT3_1109999999_7</vt:lpstr>
      <vt:lpstr>GMIC_22A_SCDPT3!SCDPT3_1109999999_8</vt:lpstr>
      <vt:lpstr>GMIC_22A_SCDPT3!SCDPT3_1109999999_9</vt:lpstr>
      <vt:lpstr>GMIC_22A_SCDPT3!SCDPT3_110BEGINNG_1</vt:lpstr>
      <vt:lpstr>GMIC_22A_SCDPT3!SCDPT3_110BEGINNG_10</vt:lpstr>
      <vt:lpstr>GMIC_22A_SCDPT3!SCDPT3_110BEGINNG_11</vt:lpstr>
      <vt:lpstr>GMIC_22A_SCDPT3!SCDPT3_110BEGINNG_12</vt:lpstr>
      <vt:lpstr>GMIC_22A_SCDPT3!SCDPT3_110BEGINNG_13</vt:lpstr>
      <vt:lpstr>GMIC_22A_SCDPT3!SCDPT3_110BEGINNG_14</vt:lpstr>
      <vt:lpstr>GMIC_22A_SCDPT3!SCDPT3_110BEGINNG_15</vt:lpstr>
      <vt:lpstr>GMIC_22A_SCDPT3!SCDPT3_110BEGINNG_2</vt:lpstr>
      <vt:lpstr>GMIC_22A_SCDPT3!SCDPT3_110BEGINNG_3</vt:lpstr>
      <vt:lpstr>GMIC_22A_SCDPT3!SCDPT3_110BEGINNG_4</vt:lpstr>
      <vt:lpstr>GMIC_22A_SCDPT3!SCDPT3_110BEGINNG_5</vt:lpstr>
      <vt:lpstr>GMIC_22A_SCDPT3!SCDPT3_110BEGINNG_6</vt:lpstr>
      <vt:lpstr>GMIC_22A_SCDPT3!SCDPT3_110BEGINNG_7</vt:lpstr>
      <vt:lpstr>GMIC_22A_SCDPT3!SCDPT3_110BEGINNG_8</vt:lpstr>
      <vt:lpstr>GMIC_22A_SCDPT3!SCDPT3_110BEGINNG_9</vt:lpstr>
      <vt:lpstr>GMIC_22A_SCDPT3!SCDPT3_110ENDINGG_10</vt:lpstr>
      <vt:lpstr>GMIC_22A_SCDPT3!SCDPT3_110ENDINGG_11</vt:lpstr>
      <vt:lpstr>GMIC_22A_SCDPT3!SCDPT3_110ENDINGG_12</vt:lpstr>
      <vt:lpstr>GMIC_22A_SCDPT3!SCDPT3_110ENDINGG_13</vt:lpstr>
      <vt:lpstr>GMIC_22A_SCDPT3!SCDPT3_110ENDINGG_14</vt:lpstr>
      <vt:lpstr>GMIC_22A_SCDPT3!SCDPT3_110ENDINGG_15</vt:lpstr>
      <vt:lpstr>GMIC_22A_SCDPT3!SCDPT3_110ENDINGG_2</vt:lpstr>
      <vt:lpstr>GMIC_22A_SCDPT3!SCDPT3_110ENDINGG_3</vt:lpstr>
      <vt:lpstr>GMIC_22A_SCDPT3!SCDPT3_110ENDINGG_4</vt:lpstr>
      <vt:lpstr>GMIC_22A_SCDPT3!SCDPT3_110ENDINGG_5</vt:lpstr>
      <vt:lpstr>GMIC_22A_SCDPT3!SCDPT3_110ENDINGG_6</vt:lpstr>
      <vt:lpstr>GMIC_22A_SCDPT3!SCDPT3_110ENDINGG_7</vt:lpstr>
      <vt:lpstr>GMIC_22A_SCDPT3!SCDPT3_110ENDINGG_8</vt:lpstr>
      <vt:lpstr>GMIC_22A_SCDPT3!SCDPT3_110ENDINGG_9</vt:lpstr>
      <vt:lpstr>GMIC_22A_SCDPT3!SCDPT3_1300000000_Range</vt:lpstr>
      <vt:lpstr>GMIC_22A_SCDPT3!SCDPT3_1309999999_7</vt:lpstr>
      <vt:lpstr>GMIC_22A_SCDPT3!SCDPT3_1309999999_8</vt:lpstr>
      <vt:lpstr>GMIC_22A_SCDPT3!SCDPT3_1309999999_9</vt:lpstr>
      <vt:lpstr>GMIC_22A_SCDPT3!SCDPT3_130BEGINNG_1</vt:lpstr>
      <vt:lpstr>GMIC_22A_SCDPT3!SCDPT3_130BEGINNG_10</vt:lpstr>
      <vt:lpstr>GMIC_22A_SCDPT3!SCDPT3_130BEGINNG_11</vt:lpstr>
      <vt:lpstr>GMIC_22A_SCDPT3!SCDPT3_130BEGINNG_12</vt:lpstr>
      <vt:lpstr>GMIC_22A_SCDPT3!SCDPT3_130BEGINNG_13</vt:lpstr>
      <vt:lpstr>GMIC_22A_SCDPT3!SCDPT3_130BEGINNG_14</vt:lpstr>
      <vt:lpstr>GMIC_22A_SCDPT3!SCDPT3_130BEGINNG_15</vt:lpstr>
      <vt:lpstr>GMIC_22A_SCDPT3!SCDPT3_130BEGINNG_2</vt:lpstr>
      <vt:lpstr>GMIC_22A_SCDPT3!SCDPT3_130BEGINNG_3</vt:lpstr>
      <vt:lpstr>GMIC_22A_SCDPT3!SCDPT3_130BEGINNG_4</vt:lpstr>
      <vt:lpstr>GMIC_22A_SCDPT3!SCDPT3_130BEGINNG_5</vt:lpstr>
      <vt:lpstr>GMIC_22A_SCDPT3!SCDPT3_130BEGINNG_6</vt:lpstr>
      <vt:lpstr>GMIC_22A_SCDPT3!SCDPT3_130BEGINNG_7</vt:lpstr>
      <vt:lpstr>GMIC_22A_SCDPT3!SCDPT3_130BEGINNG_8</vt:lpstr>
      <vt:lpstr>GMIC_22A_SCDPT3!SCDPT3_130BEGINNG_9</vt:lpstr>
      <vt:lpstr>GMIC_22A_SCDPT3!SCDPT3_130ENDINGG_10</vt:lpstr>
      <vt:lpstr>GMIC_22A_SCDPT3!SCDPT3_130ENDINGG_11</vt:lpstr>
      <vt:lpstr>GMIC_22A_SCDPT3!SCDPT3_130ENDINGG_12</vt:lpstr>
      <vt:lpstr>GMIC_22A_SCDPT3!SCDPT3_130ENDINGG_13</vt:lpstr>
      <vt:lpstr>GMIC_22A_SCDPT3!SCDPT3_130ENDINGG_14</vt:lpstr>
      <vt:lpstr>GMIC_22A_SCDPT3!SCDPT3_130ENDINGG_15</vt:lpstr>
      <vt:lpstr>GMIC_22A_SCDPT3!SCDPT3_130ENDINGG_2</vt:lpstr>
      <vt:lpstr>GMIC_22A_SCDPT3!SCDPT3_130ENDINGG_3</vt:lpstr>
      <vt:lpstr>GMIC_22A_SCDPT3!SCDPT3_130ENDINGG_4</vt:lpstr>
      <vt:lpstr>GMIC_22A_SCDPT3!SCDPT3_130ENDINGG_5</vt:lpstr>
      <vt:lpstr>GMIC_22A_SCDPT3!SCDPT3_130ENDINGG_6</vt:lpstr>
      <vt:lpstr>GMIC_22A_SCDPT3!SCDPT3_130ENDINGG_7</vt:lpstr>
      <vt:lpstr>GMIC_22A_SCDPT3!SCDPT3_130ENDINGG_8</vt:lpstr>
      <vt:lpstr>GMIC_22A_SCDPT3!SCDPT3_130ENDINGG_9</vt:lpstr>
      <vt:lpstr>GMIC_22A_SCDPT3!SCDPT3_1500000000_Range</vt:lpstr>
      <vt:lpstr>GMIC_22A_SCDPT3!SCDPT3_1509999999_7</vt:lpstr>
      <vt:lpstr>GMIC_22A_SCDPT3!SCDPT3_1509999999_8</vt:lpstr>
      <vt:lpstr>GMIC_22A_SCDPT3!SCDPT3_1509999999_9</vt:lpstr>
      <vt:lpstr>GMIC_22A_SCDPT3!SCDPT3_150BEGINNG_1</vt:lpstr>
      <vt:lpstr>GMIC_22A_SCDPT3!SCDPT3_150BEGINNG_10</vt:lpstr>
      <vt:lpstr>GMIC_22A_SCDPT3!SCDPT3_150BEGINNG_11</vt:lpstr>
      <vt:lpstr>GMIC_22A_SCDPT3!SCDPT3_150BEGINNG_12</vt:lpstr>
      <vt:lpstr>GMIC_22A_SCDPT3!SCDPT3_150BEGINNG_13</vt:lpstr>
      <vt:lpstr>GMIC_22A_SCDPT3!SCDPT3_150BEGINNG_14</vt:lpstr>
      <vt:lpstr>GMIC_22A_SCDPT3!SCDPT3_150BEGINNG_15</vt:lpstr>
      <vt:lpstr>GMIC_22A_SCDPT3!SCDPT3_150BEGINNG_2</vt:lpstr>
      <vt:lpstr>GMIC_22A_SCDPT3!SCDPT3_150BEGINNG_3</vt:lpstr>
      <vt:lpstr>GMIC_22A_SCDPT3!SCDPT3_150BEGINNG_4</vt:lpstr>
      <vt:lpstr>GMIC_22A_SCDPT3!SCDPT3_150BEGINNG_5</vt:lpstr>
      <vt:lpstr>GMIC_22A_SCDPT3!SCDPT3_150BEGINNG_6</vt:lpstr>
      <vt:lpstr>GMIC_22A_SCDPT3!SCDPT3_150BEGINNG_7</vt:lpstr>
      <vt:lpstr>GMIC_22A_SCDPT3!SCDPT3_150BEGINNG_8</vt:lpstr>
      <vt:lpstr>GMIC_22A_SCDPT3!SCDPT3_150BEGINNG_9</vt:lpstr>
      <vt:lpstr>GMIC_22A_SCDPT3!SCDPT3_150ENDINGG_10</vt:lpstr>
      <vt:lpstr>GMIC_22A_SCDPT3!SCDPT3_150ENDINGG_11</vt:lpstr>
      <vt:lpstr>GMIC_22A_SCDPT3!SCDPT3_150ENDINGG_12</vt:lpstr>
      <vt:lpstr>GMIC_22A_SCDPT3!SCDPT3_150ENDINGG_13</vt:lpstr>
      <vt:lpstr>GMIC_22A_SCDPT3!SCDPT3_150ENDINGG_14</vt:lpstr>
      <vt:lpstr>GMIC_22A_SCDPT3!SCDPT3_150ENDINGG_15</vt:lpstr>
      <vt:lpstr>GMIC_22A_SCDPT3!SCDPT3_150ENDINGG_2</vt:lpstr>
      <vt:lpstr>GMIC_22A_SCDPT3!SCDPT3_150ENDINGG_3</vt:lpstr>
      <vt:lpstr>GMIC_22A_SCDPT3!SCDPT3_150ENDINGG_4</vt:lpstr>
      <vt:lpstr>GMIC_22A_SCDPT3!SCDPT3_150ENDINGG_5</vt:lpstr>
      <vt:lpstr>GMIC_22A_SCDPT3!SCDPT3_150ENDINGG_6</vt:lpstr>
      <vt:lpstr>GMIC_22A_SCDPT3!SCDPT3_150ENDINGG_7</vt:lpstr>
      <vt:lpstr>GMIC_22A_SCDPT3!SCDPT3_150ENDINGG_8</vt:lpstr>
      <vt:lpstr>GMIC_22A_SCDPT3!SCDPT3_150ENDINGG_9</vt:lpstr>
      <vt:lpstr>GMIC_22A_SCDPT3!SCDPT3_1610000000_Range</vt:lpstr>
      <vt:lpstr>GMIC_22A_SCDPT3!SCDPT3_1619999999_7</vt:lpstr>
      <vt:lpstr>GMIC_22A_SCDPT3!SCDPT3_1619999999_8</vt:lpstr>
      <vt:lpstr>GMIC_22A_SCDPT3!SCDPT3_1619999999_9</vt:lpstr>
      <vt:lpstr>GMIC_22A_SCDPT3!SCDPT3_161BEGINNG_1</vt:lpstr>
      <vt:lpstr>GMIC_22A_SCDPT3!SCDPT3_161BEGINNG_10</vt:lpstr>
      <vt:lpstr>GMIC_22A_SCDPT3!SCDPT3_161BEGINNG_11</vt:lpstr>
      <vt:lpstr>GMIC_22A_SCDPT3!SCDPT3_161BEGINNG_12</vt:lpstr>
      <vt:lpstr>GMIC_22A_SCDPT3!SCDPT3_161BEGINNG_13</vt:lpstr>
      <vt:lpstr>GMIC_22A_SCDPT3!SCDPT3_161BEGINNG_14</vt:lpstr>
      <vt:lpstr>GMIC_22A_SCDPT3!SCDPT3_161BEGINNG_15</vt:lpstr>
      <vt:lpstr>GMIC_22A_SCDPT3!SCDPT3_161BEGINNG_2</vt:lpstr>
      <vt:lpstr>GMIC_22A_SCDPT3!SCDPT3_161BEGINNG_3</vt:lpstr>
      <vt:lpstr>GMIC_22A_SCDPT3!SCDPT3_161BEGINNG_4</vt:lpstr>
      <vt:lpstr>GMIC_22A_SCDPT3!SCDPT3_161BEGINNG_5</vt:lpstr>
      <vt:lpstr>GMIC_22A_SCDPT3!SCDPT3_161BEGINNG_6</vt:lpstr>
      <vt:lpstr>GMIC_22A_SCDPT3!SCDPT3_161BEGINNG_7</vt:lpstr>
      <vt:lpstr>GMIC_22A_SCDPT3!SCDPT3_161BEGINNG_8</vt:lpstr>
      <vt:lpstr>GMIC_22A_SCDPT3!SCDPT3_161BEGINNG_9</vt:lpstr>
      <vt:lpstr>GMIC_22A_SCDPT3!SCDPT3_161ENDINGG_10</vt:lpstr>
      <vt:lpstr>GMIC_22A_SCDPT3!SCDPT3_161ENDINGG_11</vt:lpstr>
      <vt:lpstr>GMIC_22A_SCDPT3!SCDPT3_161ENDINGG_12</vt:lpstr>
      <vt:lpstr>GMIC_22A_SCDPT3!SCDPT3_161ENDINGG_13</vt:lpstr>
      <vt:lpstr>GMIC_22A_SCDPT3!SCDPT3_161ENDINGG_14</vt:lpstr>
      <vt:lpstr>GMIC_22A_SCDPT3!SCDPT3_161ENDINGG_15</vt:lpstr>
      <vt:lpstr>GMIC_22A_SCDPT3!SCDPT3_161ENDINGG_2</vt:lpstr>
      <vt:lpstr>GMIC_22A_SCDPT3!SCDPT3_161ENDINGG_3</vt:lpstr>
      <vt:lpstr>GMIC_22A_SCDPT3!SCDPT3_161ENDINGG_4</vt:lpstr>
      <vt:lpstr>GMIC_22A_SCDPT3!SCDPT3_161ENDINGG_5</vt:lpstr>
      <vt:lpstr>GMIC_22A_SCDPT3!SCDPT3_161ENDINGG_6</vt:lpstr>
      <vt:lpstr>GMIC_22A_SCDPT3!SCDPT3_161ENDINGG_7</vt:lpstr>
      <vt:lpstr>GMIC_22A_SCDPT3!SCDPT3_161ENDINGG_8</vt:lpstr>
      <vt:lpstr>GMIC_22A_SCDPT3!SCDPT3_161ENDINGG_9</vt:lpstr>
      <vt:lpstr>GMIC_22A_SCDPT3!SCDPT3_1900000000_Range</vt:lpstr>
      <vt:lpstr>GMIC_22A_SCDPT3!SCDPT3_1909999999_7</vt:lpstr>
      <vt:lpstr>GMIC_22A_SCDPT3!SCDPT3_1909999999_8</vt:lpstr>
      <vt:lpstr>GMIC_22A_SCDPT3!SCDPT3_1909999999_9</vt:lpstr>
      <vt:lpstr>GMIC_22A_SCDPT3!SCDPT3_190BEGINNG_1</vt:lpstr>
      <vt:lpstr>GMIC_22A_SCDPT3!SCDPT3_190BEGINNG_10</vt:lpstr>
      <vt:lpstr>GMIC_22A_SCDPT3!SCDPT3_190BEGINNG_11</vt:lpstr>
      <vt:lpstr>GMIC_22A_SCDPT3!SCDPT3_190BEGINNG_12</vt:lpstr>
      <vt:lpstr>GMIC_22A_SCDPT3!SCDPT3_190BEGINNG_13</vt:lpstr>
      <vt:lpstr>GMIC_22A_SCDPT3!SCDPT3_190BEGINNG_14</vt:lpstr>
      <vt:lpstr>GMIC_22A_SCDPT3!SCDPT3_190BEGINNG_15</vt:lpstr>
      <vt:lpstr>GMIC_22A_SCDPT3!SCDPT3_190BEGINNG_2</vt:lpstr>
      <vt:lpstr>GMIC_22A_SCDPT3!SCDPT3_190BEGINNG_3</vt:lpstr>
      <vt:lpstr>GMIC_22A_SCDPT3!SCDPT3_190BEGINNG_4</vt:lpstr>
      <vt:lpstr>GMIC_22A_SCDPT3!SCDPT3_190BEGINNG_5</vt:lpstr>
      <vt:lpstr>GMIC_22A_SCDPT3!SCDPT3_190BEGINNG_6</vt:lpstr>
      <vt:lpstr>GMIC_22A_SCDPT3!SCDPT3_190BEGINNG_7</vt:lpstr>
      <vt:lpstr>GMIC_22A_SCDPT3!SCDPT3_190BEGINNG_8</vt:lpstr>
      <vt:lpstr>GMIC_22A_SCDPT3!SCDPT3_190BEGINNG_9</vt:lpstr>
      <vt:lpstr>GMIC_22A_SCDPT3!SCDPT3_190ENDINGG_10</vt:lpstr>
      <vt:lpstr>GMIC_22A_SCDPT3!SCDPT3_190ENDINGG_11</vt:lpstr>
      <vt:lpstr>GMIC_22A_SCDPT3!SCDPT3_190ENDINGG_12</vt:lpstr>
      <vt:lpstr>GMIC_22A_SCDPT3!SCDPT3_190ENDINGG_13</vt:lpstr>
      <vt:lpstr>GMIC_22A_SCDPT3!SCDPT3_190ENDINGG_14</vt:lpstr>
      <vt:lpstr>GMIC_22A_SCDPT3!SCDPT3_190ENDINGG_15</vt:lpstr>
      <vt:lpstr>GMIC_22A_SCDPT3!SCDPT3_190ENDINGG_2</vt:lpstr>
      <vt:lpstr>GMIC_22A_SCDPT3!SCDPT3_190ENDINGG_3</vt:lpstr>
      <vt:lpstr>GMIC_22A_SCDPT3!SCDPT3_190ENDINGG_4</vt:lpstr>
      <vt:lpstr>GMIC_22A_SCDPT3!SCDPT3_190ENDINGG_5</vt:lpstr>
      <vt:lpstr>GMIC_22A_SCDPT3!SCDPT3_190ENDINGG_6</vt:lpstr>
      <vt:lpstr>GMIC_22A_SCDPT3!SCDPT3_190ENDINGG_7</vt:lpstr>
      <vt:lpstr>GMIC_22A_SCDPT3!SCDPT3_190ENDINGG_8</vt:lpstr>
      <vt:lpstr>GMIC_22A_SCDPT3!SCDPT3_190ENDINGG_9</vt:lpstr>
      <vt:lpstr>GMIC_22A_SCDPT3!SCDPT3_2010000000_Range</vt:lpstr>
      <vt:lpstr>GMIC_22A_SCDPT3!SCDPT3_2019999999_7</vt:lpstr>
      <vt:lpstr>GMIC_22A_SCDPT3!SCDPT3_2019999999_8</vt:lpstr>
      <vt:lpstr>GMIC_22A_SCDPT3!SCDPT3_2019999999_9</vt:lpstr>
      <vt:lpstr>GMIC_22A_SCDPT3!SCDPT3_201BEGINNG_1</vt:lpstr>
      <vt:lpstr>GMIC_22A_SCDPT3!SCDPT3_201BEGINNG_10</vt:lpstr>
      <vt:lpstr>GMIC_22A_SCDPT3!SCDPT3_201BEGINNG_11</vt:lpstr>
      <vt:lpstr>GMIC_22A_SCDPT3!SCDPT3_201BEGINNG_12</vt:lpstr>
      <vt:lpstr>GMIC_22A_SCDPT3!SCDPT3_201BEGINNG_13</vt:lpstr>
      <vt:lpstr>GMIC_22A_SCDPT3!SCDPT3_201BEGINNG_14</vt:lpstr>
      <vt:lpstr>GMIC_22A_SCDPT3!SCDPT3_201BEGINNG_15</vt:lpstr>
      <vt:lpstr>GMIC_22A_SCDPT3!SCDPT3_201BEGINNG_2</vt:lpstr>
      <vt:lpstr>GMIC_22A_SCDPT3!SCDPT3_201BEGINNG_3</vt:lpstr>
      <vt:lpstr>GMIC_22A_SCDPT3!SCDPT3_201BEGINNG_4</vt:lpstr>
      <vt:lpstr>GMIC_22A_SCDPT3!SCDPT3_201BEGINNG_5</vt:lpstr>
      <vt:lpstr>GMIC_22A_SCDPT3!SCDPT3_201BEGINNG_6</vt:lpstr>
      <vt:lpstr>GMIC_22A_SCDPT3!SCDPT3_201BEGINNG_7</vt:lpstr>
      <vt:lpstr>GMIC_22A_SCDPT3!SCDPT3_201BEGINNG_8</vt:lpstr>
      <vt:lpstr>GMIC_22A_SCDPT3!SCDPT3_201BEGINNG_9</vt:lpstr>
      <vt:lpstr>GMIC_22A_SCDPT3!SCDPT3_201ENDINGG_10</vt:lpstr>
      <vt:lpstr>GMIC_22A_SCDPT3!SCDPT3_201ENDINGG_11</vt:lpstr>
      <vt:lpstr>GMIC_22A_SCDPT3!SCDPT3_201ENDINGG_12</vt:lpstr>
      <vt:lpstr>GMIC_22A_SCDPT3!SCDPT3_201ENDINGG_13</vt:lpstr>
      <vt:lpstr>GMIC_22A_SCDPT3!SCDPT3_201ENDINGG_14</vt:lpstr>
      <vt:lpstr>GMIC_22A_SCDPT3!SCDPT3_201ENDINGG_15</vt:lpstr>
      <vt:lpstr>GMIC_22A_SCDPT3!SCDPT3_201ENDINGG_2</vt:lpstr>
      <vt:lpstr>GMIC_22A_SCDPT3!SCDPT3_201ENDINGG_3</vt:lpstr>
      <vt:lpstr>GMIC_22A_SCDPT3!SCDPT3_201ENDINGG_4</vt:lpstr>
      <vt:lpstr>GMIC_22A_SCDPT3!SCDPT3_201ENDINGG_5</vt:lpstr>
      <vt:lpstr>GMIC_22A_SCDPT3!SCDPT3_201ENDINGG_6</vt:lpstr>
      <vt:lpstr>GMIC_22A_SCDPT3!SCDPT3_201ENDINGG_7</vt:lpstr>
      <vt:lpstr>GMIC_22A_SCDPT3!SCDPT3_201ENDINGG_8</vt:lpstr>
      <vt:lpstr>GMIC_22A_SCDPT3!SCDPT3_201ENDINGG_9</vt:lpstr>
      <vt:lpstr>GMIC_22A_SCDPT3!SCDPT3_2509999997_7</vt:lpstr>
      <vt:lpstr>GMIC_22A_SCDPT3!SCDPT3_2509999997_8</vt:lpstr>
      <vt:lpstr>GMIC_22A_SCDPT3!SCDPT3_2509999997_9</vt:lpstr>
      <vt:lpstr>GMIC_22A_SCDPT3!SCDPT3_2509999998_7</vt:lpstr>
      <vt:lpstr>GMIC_22A_SCDPT3!SCDPT3_2509999998_8</vt:lpstr>
      <vt:lpstr>GMIC_22A_SCDPT3!SCDPT3_2509999998_9</vt:lpstr>
      <vt:lpstr>GMIC_22A_SCDPT3!SCDPT3_2509999999_7</vt:lpstr>
      <vt:lpstr>GMIC_22A_SCDPT3!SCDPT3_2509999999_8</vt:lpstr>
      <vt:lpstr>GMIC_22A_SCDPT3!SCDPT3_2509999999_9</vt:lpstr>
      <vt:lpstr>GMIC_22A_SCDPT3!SCDPT3_4010000000_Range</vt:lpstr>
      <vt:lpstr>GMIC_22A_SCDPT3!SCDPT3_4019999999_7</vt:lpstr>
      <vt:lpstr>GMIC_22A_SCDPT3!SCDPT3_4019999999_9</vt:lpstr>
      <vt:lpstr>GMIC_22A_SCDPT3!SCDPT3_401BEGINNG_1</vt:lpstr>
      <vt:lpstr>GMIC_22A_SCDPT3!SCDPT3_401BEGINNG_10</vt:lpstr>
      <vt:lpstr>GMIC_22A_SCDPT3!SCDPT3_401BEGINNG_11</vt:lpstr>
      <vt:lpstr>GMIC_22A_SCDPT3!SCDPT3_401BEGINNG_12</vt:lpstr>
      <vt:lpstr>GMIC_22A_SCDPT3!SCDPT3_401BEGINNG_13</vt:lpstr>
      <vt:lpstr>GMIC_22A_SCDPT3!SCDPT3_401BEGINNG_14</vt:lpstr>
      <vt:lpstr>GMIC_22A_SCDPT3!SCDPT3_401BEGINNG_15</vt:lpstr>
      <vt:lpstr>GMIC_22A_SCDPT3!SCDPT3_401BEGINNG_2</vt:lpstr>
      <vt:lpstr>GMIC_22A_SCDPT3!SCDPT3_401BEGINNG_3</vt:lpstr>
      <vt:lpstr>GMIC_22A_SCDPT3!SCDPT3_401BEGINNG_4</vt:lpstr>
      <vt:lpstr>GMIC_22A_SCDPT3!SCDPT3_401BEGINNG_5</vt:lpstr>
      <vt:lpstr>GMIC_22A_SCDPT3!SCDPT3_401BEGINNG_6</vt:lpstr>
      <vt:lpstr>GMIC_22A_SCDPT3!SCDPT3_401BEGINNG_7</vt:lpstr>
      <vt:lpstr>GMIC_22A_SCDPT3!SCDPT3_401BEGINNG_8</vt:lpstr>
      <vt:lpstr>GMIC_22A_SCDPT3!SCDPT3_401BEGINNG_9</vt:lpstr>
      <vt:lpstr>GMIC_22A_SCDPT3!SCDPT3_401ENDINGG_10</vt:lpstr>
      <vt:lpstr>GMIC_22A_SCDPT3!SCDPT3_401ENDINGG_11</vt:lpstr>
      <vt:lpstr>GMIC_22A_SCDPT3!SCDPT3_401ENDINGG_12</vt:lpstr>
      <vt:lpstr>GMIC_22A_SCDPT3!SCDPT3_401ENDINGG_13</vt:lpstr>
      <vt:lpstr>GMIC_22A_SCDPT3!SCDPT3_401ENDINGG_14</vt:lpstr>
      <vt:lpstr>GMIC_22A_SCDPT3!SCDPT3_401ENDINGG_15</vt:lpstr>
      <vt:lpstr>GMIC_22A_SCDPT3!SCDPT3_401ENDINGG_2</vt:lpstr>
      <vt:lpstr>GMIC_22A_SCDPT3!SCDPT3_401ENDINGG_3</vt:lpstr>
      <vt:lpstr>GMIC_22A_SCDPT3!SCDPT3_401ENDINGG_4</vt:lpstr>
      <vt:lpstr>GMIC_22A_SCDPT3!SCDPT3_401ENDINGG_5</vt:lpstr>
      <vt:lpstr>GMIC_22A_SCDPT3!SCDPT3_401ENDINGG_6</vt:lpstr>
      <vt:lpstr>GMIC_22A_SCDPT3!SCDPT3_401ENDINGG_7</vt:lpstr>
      <vt:lpstr>GMIC_22A_SCDPT3!SCDPT3_401ENDINGG_8</vt:lpstr>
      <vt:lpstr>GMIC_22A_SCDPT3!SCDPT3_401ENDINGG_9</vt:lpstr>
      <vt:lpstr>GMIC_22A_SCDPT3!SCDPT3_4020000000_Range</vt:lpstr>
      <vt:lpstr>GMIC_22A_SCDPT3!SCDPT3_4029999999_7</vt:lpstr>
      <vt:lpstr>GMIC_22A_SCDPT3!SCDPT3_4029999999_9</vt:lpstr>
      <vt:lpstr>GMIC_22A_SCDPT3!SCDPT3_402BEGINNG_1</vt:lpstr>
      <vt:lpstr>GMIC_22A_SCDPT3!SCDPT3_402BEGINNG_10</vt:lpstr>
      <vt:lpstr>GMIC_22A_SCDPT3!SCDPT3_402BEGINNG_11</vt:lpstr>
      <vt:lpstr>GMIC_22A_SCDPT3!SCDPT3_402BEGINNG_12</vt:lpstr>
      <vt:lpstr>GMIC_22A_SCDPT3!SCDPT3_402BEGINNG_13</vt:lpstr>
      <vt:lpstr>GMIC_22A_SCDPT3!SCDPT3_402BEGINNG_14</vt:lpstr>
      <vt:lpstr>GMIC_22A_SCDPT3!SCDPT3_402BEGINNG_15</vt:lpstr>
      <vt:lpstr>GMIC_22A_SCDPT3!SCDPT3_402BEGINNG_2</vt:lpstr>
      <vt:lpstr>GMIC_22A_SCDPT3!SCDPT3_402BEGINNG_3</vt:lpstr>
      <vt:lpstr>GMIC_22A_SCDPT3!SCDPT3_402BEGINNG_4</vt:lpstr>
      <vt:lpstr>GMIC_22A_SCDPT3!SCDPT3_402BEGINNG_5</vt:lpstr>
      <vt:lpstr>GMIC_22A_SCDPT3!SCDPT3_402BEGINNG_6</vt:lpstr>
      <vt:lpstr>GMIC_22A_SCDPT3!SCDPT3_402BEGINNG_7</vt:lpstr>
      <vt:lpstr>GMIC_22A_SCDPT3!SCDPT3_402BEGINNG_8</vt:lpstr>
      <vt:lpstr>GMIC_22A_SCDPT3!SCDPT3_402BEGINNG_9</vt:lpstr>
      <vt:lpstr>GMIC_22A_SCDPT3!SCDPT3_402ENDINGG_10</vt:lpstr>
      <vt:lpstr>GMIC_22A_SCDPT3!SCDPT3_402ENDINGG_11</vt:lpstr>
      <vt:lpstr>GMIC_22A_SCDPT3!SCDPT3_402ENDINGG_12</vt:lpstr>
      <vt:lpstr>GMIC_22A_SCDPT3!SCDPT3_402ENDINGG_13</vt:lpstr>
      <vt:lpstr>GMIC_22A_SCDPT3!SCDPT3_402ENDINGG_14</vt:lpstr>
      <vt:lpstr>GMIC_22A_SCDPT3!SCDPT3_402ENDINGG_15</vt:lpstr>
      <vt:lpstr>GMIC_22A_SCDPT3!SCDPT3_402ENDINGG_2</vt:lpstr>
      <vt:lpstr>GMIC_22A_SCDPT3!SCDPT3_402ENDINGG_3</vt:lpstr>
      <vt:lpstr>GMIC_22A_SCDPT3!SCDPT3_402ENDINGG_4</vt:lpstr>
      <vt:lpstr>GMIC_22A_SCDPT3!SCDPT3_402ENDINGG_5</vt:lpstr>
      <vt:lpstr>GMIC_22A_SCDPT3!SCDPT3_402ENDINGG_6</vt:lpstr>
      <vt:lpstr>GMIC_22A_SCDPT3!SCDPT3_402ENDINGG_7</vt:lpstr>
      <vt:lpstr>GMIC_22A_SCDPT3!SCDPT3_402ENDINGG_8</vt:lpstr>
      <vt:lpstr>GMIC_22A_SCDPT3!SCDPT3_402ENDINGG_9</vt:lpstr>
      <vt:lpstr>GMIC_22A_SCDPT3!SCDPT3_4310000000_Range</vt:lpstr>
      <vt:lpstr>GMIC_22A_SCDPT3!SCDPT3_4319999999_7</vt:lpstr>
      <vt:lpstr>GMIC_22A_SCDPT3!SCDPT3_4319999999_9</vt:lpstr>
      <vt:lpstr>GMIC_22A_SCDPT3!SCDPT3_431BEGINNG_1</vt:lpstr>
      <vt:lpstr>GMIC_22A_SCDPT3!SCDPT3_431BEGINNG_10</vt:lpstr>
      <vt:lpstr>GMIC_22A_SCDPT3!SCDPT3_431BEGINNG_11</vt:lpstr>
      <vt:lpstr>GMIC_22A_SCDPT3!SCDPT3_431BEGINNG_12</vt:lpstr>
      <vt:lpstr>GMIC_22A_SCDPT3!SCDPT3_431BEGINNG_13</vt:lpstr>
      <vt:lpstr>GMIC_22A_SCDPT3!SCDPT3_431BEGINNG_14</vt:lpstr>
      <vt:lpstr>GMIC_22A_SCDPT3!SCDPT3_431BEGINNG_15</vt:lpstr>
      <vt:lpstr>GMIC_22A_SCDPT3!SCDPT3_431BEGINNG_2</vt:lpstr>
      <vt:lpstr>GMIC_22A_SCDPT3!SCDPT3_431BEGINNG_3</vt:lpstr>
      <vt:lpstr>GMIC_22A_SCDPT3!SCDPT3_431BEGINNG_4</vt:lpstr>
      <vt:lpstr>GMIC_22A_SCDPT3!SCDPT3_431BEGINNG_5</vt:lpstr>
      <vt:lpstr>GMIC_22A_SCDPT3!SCDPT3_431BEGINNG_6</vt:lpstr>
      <vt:lpstr>GMIC_22A_SCDPT3!SCDPT3_431BEGINNG_7</vt:lpstr>
      <vt:lpstr>GMIC_22A_SCDPT3!SCDPT3_431BEGINNG_8</vt:lpstr>
      <vt:lpstr>GMIC_22A_SCDPT3!SCDPT3_431BEGINNG_9</vt:lpstr>
      <vt:lpstr>GMIC_22A_SCDPT3!SCDPT3_431ENDINGG_10</vt:lpstr>
      <vt:lpstr>GMIC_22A_SCDPT3!SCDPT3_431ENDINGG_11</vt:lpstr>
      <vt:lpstr>GMIC_22A_SCDPT3!SCDPT3_431ENDINGG_12</vt:lpstr>
      <vt:lpstr>GMIC_22A_SCDPT3!SCDPT3_431ENDINGG_13</vt:lpstr>
      <vt:lpstr>GMIC_22A_SCDPT3!SCDPT3_431ENDINGG_14</vt:lpstr>
      <vt:lpstr>GMIC_22A_SCDPT3!SCDPT3_431ENDINGG_15</vt:lpstr>
      <vt:lpstr>GMIC_22A_SCDPT3!SCDPT3_431ENDINGG_2</vt:lpstr>
      <vt:lpstr>GMIC_22A_SCDPT3!SCDPT3_431ENDINGG_3</vt:lpstr>
      <vt:lpstr>GMIC_22A_SCDPT3!SCDPT3_431ENDINGG_4</vt:lpstr>
      <vt:lpstr>GMIC_22A_SCDPT3!SCDPT3_431ENDINGG_5</vt:lpstr>
      <vt:lpstr>GMIC_22A_SCDPT3!SCDPT3_431ENDINGG_6</vt:lpstr>
      <vt:lpstr>GMIC_22A_SCDPT3!SCDPT3_431ENDINGG_7</vt:lpstr>
      <vt:lpstr>GMIC_22A_SCDPT3!SCDPT3_431ENDINGG_8</vt:lpstr>
      <vt:lpstr>GMIC_22A_SCDPT3!SCDPT3_431ENDINGG_9</vt:lpstr>
      <vt:lpstr>GMIC_22A_SCDPT3!SCDPT3_4320000000_Range</vt:lpstr>
      <vt:lpstr>GMIC_22A_SCDPT3!SCDPT3_4329999999_7</vt:lpstr>
      <vt:lpstr>GMIC_22A_SCDPT3!SCDPT3_4329999999_9</vt:lpstr>
      <vt:lpstr>GMIC_22A_SCDPT3!SCDPT3_432BEGINNG_1</vt:lpstr>
      <vt:lpstr>GMIC_22A_SCDPT3!SCDPT3_432BEGINNG_10</vt:lpstr>
      <vt:lpstr>GMIC_22A_SCDPT3!SCDPT3_432BEGINNG_11</vt:lpstr>
      <vt:lpstr>GMIC_22A_SCDPT3!SCDPT3_432BEGINNG_12</vt:lpstr>
      <vt:lpstr>GMIC_22A_SCDPT3!SCDPT3_432BEGINNG_13</vt:lpstr>
      <vt:lpstr>GMIC_22A_SCDPT3!SCDPT3_432BEGINNG_14</vt:lpstr>
      <vt:lpstr>GMIC_22A_SCDPT3!SCDPT3_432BEGINNG_15</vt:lpstr>
      <vt:lpstr>GMIC_22A_SCDPT3!SCDPT3_432BEGINNG_2</vt:lpstr>
      <vt:lpstr>GMIC_22A_SCDPT3!SCDPT3_432BEGINNG_3</vt:lpstr>
      <vt:lpstr>GMIC_22A_SCDPT3!SCDPT3_432BEGINNG_4</vt:lpstr>
      <vt:lpstr>GMIC_22A_SCDPT3!SCDPT3_432BEGINNG_5</vt:lpstr>
      <vt:lpstr>GMIC_22A_SCDPT3!SCDPT3_432BEGINNG_6</vt:lpstr>
      <vt:lpstr>GMIC_22A_SCDPT3!SCDPT3_432BEGINNG_7</vt:lpstr>
      <vt:lpstr>GMIC_22A_SCDPT3!SCDPT3_432BEGINNG_8</vt:lpstr>
      <vt:lpstr>GMIC_22A_SCDPT3!SCDPT3_432BEGINNG_9</vt:lpstr>
      <vt:lpstr>GMIC_22A_SCDPT3!SCDPT3_432ENDINGG_10</vt:lpstr>
      <vt:lpstr>GMIC_22A_SCDPT3!SCDPT3_432ENDINGG_11</vt:lpstr>
      <vt:lpstr>GMIC_22A_SCDPT3!SCDPT3_432ENDINGG_12</vt:lpstr>
      <vt:lpstr>GMIC_22A_SCDPT3!SCDPT3_432ENDINGG_13</vt:lpstr>
      <vt:lpstr>GMIC_22A_SCDPT3!SCDPT3_432ENDINGG_14</vt:lpstr>
      <vt:lpstr>GMIC_22A_SCDPT3!SCDPT3_432ENDINGG_15</vt:lpstr>
      <vt:lpstr>GMIC_22A_SCDPT3!SCDPT3_432ENDINGG_2</vt:lpstr>
      <vt:lpstr>GMIC_22A_SCDPT3!SCDPT3_432ENDINGG_3</vt:lpstr>
      <vt:lpstr>GMIC_22A_SCDPT3!SCDPT3_432ENDINGG_4</vt:lpstr>
      <vt:lpstr>GMIC_22A_SCDPT3!SCDPT3_432ENDINGG_5</vt:lpstr>
      <vt:lpstr>GMIC_22A_SCDPT3!SCDPT3_432ENDINGG_6</vt:lpstr>
      <vt:lpstr>GMIC_22A_SCDPT3!SCDPT3_432ENDINGG_7</vt:lpstr>
      <vt:lpstr>GMIC_22A_SCDPT3!SCDPT3_432ENDINGG_8</vt:lpstr>
      <vt:lpstr>GMIC_22A_SCDPT3!SCDPT3_432ENDINGG_9</vt:lpstr>
      <vt:lpstr>GMIC_22A_SCDPT3!SCDPT3_4509999997_7</vt:lpstr>
      <vt:lpstr>GMIC_22A_SCDPT3!SCDPT3_4509999997_9</vt:lpstr>
      <vt:lpstr>GMIC_22A_SCDPT3!SCDPT3_4509999998_7</vt:lpstr>
      <vt:lpstr>GMIC_22A_SCDPT3!SCDPT3_4509999998_9</vt:lpstr>
      <vt:lpstr>GMIC_22A_SCDPT3!SCDPT3_4509999999_7</vt:lpstr>
      <vt:lpstr>GMIC_22A_SCDPT3!SCDPT3_4509999999_9</vt:lpstr>
      <vt:lpstr>GMIC_22A_SCDPT3!SCDPT3_5010000000_Range</vt:lpstr>
      <vt:lpstr>GMIC_22A_SCDPT3!SCDPT3_5019999999_7</vt:lpstr>
      <vt:lpstr>GMIC_22A_SCDPT3!SCDPT3_5019999999_9</vt:lpstr>
      <vt:lpstr>GMIC_22A_SCDPT3!SCDPT3_501BEGINNG_1</vt:lpstr>
      <vt:lpstr>GMIC_22A_SCDPT3!SCDPT3_501BEGINNG_10</vt:lpstr>
      <vt:lpstr>GMIC_22A_SCDPT3!SCDPT3_501BEGINNG_11</vt:lpstr>
      <vt:lpstr>GMIC_22A_SCDPT3!SCDPT3_501BEGINNG_12</vt:lpstr>
      <vt:lpstr>GMIC_22A_SCDPT3!SCDPT3_501BEGINNG_13</vt:lpstr>
      <vt:lpstr>GMIC_22A_SCDPT3!SCDPT3_501BEGINNG_14</vt:lpstr>
      <vt:lpstr>GMIC_22A_SCDPT3!SCDPT3_501BEGINNG_15</vt:lpstr>
      <vt:lpstr>GMIC_22A_SCDPT3!SCDPT3_501BEGINNG_2</vt:lpstr>
      <vt:lpstr>GMIC_22A_SCDPT3!SCDPT3_501BEGINNG_3</vt:lpstr>
      <vt:lpstr>GMIC_22A_SCDPT3!SCDPT3_501BEGINNG_4</vt:lpstr>
      <vt:lpstr>GMIC_22A_SCDPT3!SCDPT3_501BEGINNG_5</vt:lpstr>
      <vt:lpstr>GMIC_22A_SCDPT3!SCDPT3_501BEGINNG_6</vt:lpstr>
      <vt:lpstr>GMIC_22A_SCDPT3!SCDPT3_501BEGINNG_7</vt:lpstr>
      <vt:lpstr>GMIC_22A_SCDPT3!SCDPT3_501BEGINNG_8</vt:lpstr>
      <vt:lpstr>GMIC_22A_SCDPT3!SCDPT3_501BEGINNG_9</vt:lpstr>
      <vt:lpstr>GMIC_22A_SCDPT3!SCDPT3_501ENDINGG_10</vt:lpstr>
      <vt:lpstr>GMIC_22A_SCDPT3!SCDPT3_501ENDINGG_11</vt:lpstr>
      <vt:lpstr>GMIC_22A_SCDPT3!SCDPT3_501ENDINGG_12</vt:lpstr>
      <vt:lpstr>GMIC_22A_SCDPT3!SCDPT3_501ENDINGG_13</vt:lpstr>
      <vt:lpstr>GMIC_22A_SCDPT3!SCDPT3_501ENDINGG_14</vt:lpstr>
      <vt:lpstr>GMIC_22A_SCDPT3!SCDPT3_501ENDINGG_15</vt:lpstr>
      <vt:lpstr>GMIC_22A_SCDPT3!SCDPT3_501ENDINGG_2</vt:lpstr>
      <vt:lpstr>GMIC_22A_SCDPT3!SCDPT3_501ENDINGG_3</vt:lpstr>
      <vt:lpstr>GMIC_22A_SCDPT3!SCDPT3_501ENDINGG_4</vt:lpstr>
      <vt:lpstr>GMIC_22A_SCDPT3!SCDPT3_501ENDINGG_5</vt:lpstr>
      <vt:lpstr>GMIC_22A_SCDPT3!SCDPT3_501ENDINGG_6</vt:lpstr>
      <vt:lpstr>GMIC_22A_SCDPT3!SCDPT3_501ENDINGG_7</vt:lpstr>
      <vt:lpstr>GMIC_22A_SCDPT3!SCDPT3_501ENDINGG_8</vt:lpstr>
      <vt:lpstr>GMIC_22A_SCDPT3!SCDPT3_501ENDINGG_9</vt:lpstr>
      <vt:lpstr>GMIC_22A_SCDPT3!SCDPT3_5020000000_Range</vt:lpstr>
      <vt:lpstr>GMIC_22A_SCDPT3!SCDPT3_5029999999_7</vt:lpstr>
      <vt:lpstr>GMIC_22A_SCDPT3!SCDPT3_5029999999_9</vt:lpstr>
      <vt:lpstr>GMIC_22A_SCDPT3!SCDPT3_502BEGINNG_1</vt:lpstr>
      <vt:lpstr>GMIC_22A_SCDPT3!SCDPT3_502BEGINNG_10</vt:lpstr>
      <vt:lpstr>GMIC_22A_SCDPT3!SCDPT3_502BEGINNG_11</vt:lpstr>
      <vt:lpstr>GMIC_22A_SCDPT3!SCDPT3_502BEGINNG_12</vt:lpstr>
      <vt:lpstr>GMIC_22A_SCDPT3!SCDPT3_502BEGINNG_13</vt:lpstr>
      <vt:lpstr>GMIC_22A_SCDPT3!SCDPT3_502BEGINNG_14</vt:lpstr>
      <vt:lpstr>GMIC_22A_SCDPT3!SCDPT3_502BEGINNG_15</vt:lpstr>
      <vt:lpstr>GMIC_22A_SCDPT3!SCDPT3_502BEGINNG_2</vt:lpstr>
      <vt:lpstr>GMIC_22A_SCDPT3!SCDPT3_502BEGINNG_3</vt:lpstr>
      <vt:lpstr>GMIC_22A_SCDPT3!SCDPT3_502BEGINNG_4</vt:lpstr>
      <vt:lpstr>GMIC_22A_SCDPT3!SCDPT3_502BEGINNG_5</vt:lpstr>
      <vt:lpstr>GMIC_22A_SCDPT3!SCDPT3_502BEGINNG_6</vt:lpstr>
      <vt:lpstr>GMIC_22A_SCDPT3!SCDPT3_502BEGINNG_7</vt:lpstr>
      <vt:lpstr>GMIC_22A_SCDPT3!SCDPT3_502BEGINNG_8</vt:lpstr>
      <vt:lpstr>GMIC_22A_SCDPT3!SCDPT3_502BEGINNG_9</vt:lpstr>
      <vt:lpstr>GMIC_22A_SCDPT3!SCDPT3_502ENDINGG_10</vt:lpstr>
      <vt:lpstr>GMIC_22A_SCDPT3!SCDPT3_502ENDINGG_11</vt:lpstr>
      <vt:lpstr>GMIC_22A_SCDPT3!SCDPT3_502ENDINGG_12</vt:lpstr>
      <vt:lpstr>GMIC_22A_SCDPT3!SCDPT3_502ENDINGG_13</vt:lpstr>
      <vt:lpstr>GMIC_22A_SCDPT3!SCDPT3_502ENDINGG_14</vt:lpstr>
      <vt:lpstr>GMIC_22A_SCDPT3!SCDPT3_502ENDINGG_15</vt:lpstr>
      <vt:lpstr>GMIC_22A_SCDPT3!SCDPT3_502ENDINGG_2</vt:lpstr>
      <vt:lpstr>GMIC_22A_SCDPT3!SCDPT3_502ENDINGG_3</vt:lpstr>
      <vt:lpstr>GMIC_22A_SCDPT3!SCDPT3_502ENDINGG_4</vt:lpstr>
      <vt:lpstr>GMIC_22A_SCDPT3!SCDPT3_502ENDINGG_5</vt:lpstr>
      <vt:lpstr>GMIC_22A_SCDPT3!SCDPT3_502ENDINGG_6</vt:lpstr>
      <vt:lpstr>GMIC_22A_SCDPT3!SCDPT3_502ENDINGG_7</vt:lpstr>
      <vt:lpstr>GMIC_22A_SCDPT3!SCDPT3_502ENDINGG_8</vt:lpstr>
      <vt:lpstr>GMIC_22A_SCDPT3!SCDPT3_502ENDINGG_9</vt:lpstr>
      <vt:lpstr>GMIC_22A_SCDPT3!SCDPT3_5310000000_Range</vt:lpstr>
      <vt:lpstr>GMIC_22A_SCDPT3!SCDPT3_5319999999_7</vt:lpstr>
      <vt:lpstr>GMIC_22A_SCDPT3!SCDPT3_5319999999_9</vt:lpstr>
      <vt:lpstr>GMIC_22A_SCDPT3!SCDPT3_531BEGINNG_1</vt:lpstr>
      <vt:lpstr>GMIC_22A_SCDPT3!SCDPT3_531BEGINNG_10</vt:lpstr>
      <vt:lpstr>GMIC_22A_SCDPT3!SCDPT3_531BEGINNG_11</vt:lpstr>
      <vt:lpstr>GMIC_22A_SCDPT3!SCDPT3_531BEGINNG_12</vt:lpstr>
      <vt:lpstr>GMIC_22A_SCDPT3!SCDPT3_531BEGINNG_13</vt:lpstr>
      <vt:lpstr>GMIC_22A_SCDPT3!SCDPT3_531BEGINNG_14</vt:lpstr>
      <vt:lpstr>GMIC_22A_SCDPT3!SCDPT3_531BEGINNG_15</vt:lpstr>
      <vt:lpstr>GMIC_22A_SCDPT3!SCDPT3_531BEGINNG_2</vt:lpstr>
      <vt:lpstr>GMIC_22A_SCDPT3!SCDPT3_531BEGINNG_3</vt:lpstr>
      <vt:lpstr>GMIC_22A_SCDPT3!SCDPT3_531BEGINNG_4</vt:lpstr>
      <vt:lpstr>GMIC_22A_SCDPT3!SCDPT3_531BEGINNG_5</vt:lpstr>
      <vt:lpstr>GMIC_22A_SCDPT3!SCDPT3_531BEGINNG_6</vt:lpstr>
      <vt:lpstr>GMIC_22A_SCDPT3!SCDPT3_531BEGINNG_7</vt:lpstr>
      <vt:lpstr>GMIC_22A_SCDPT3!SCDPT3_531BEGINNG_8</vt:lpstr>
      <vt:lpstr>GMIC_22A_SCDPT3!SCDPT3_531BEGINNG_9</vt:lpstr>
      <vt:lpstr>GMIC_22A_SCDPT3!SCDPT3_531ENDINGG_10</vt:lpstr>
      <vt:lpstr>GMIC_22A_SCDPT3!SCDPT3_531ENDINGG_11</vt:lpstr>
      <vt:lpstr>GMIC_22A_SCDPT3!SCDPT3_531ENDINGG_12</vt:lpstr>
      <vt:lpstr>GMIC_22A_SCDPT3!SCDPT3_531ENDINGG_13</vt:lpstr>
      <vt:lpstr>GMIC_22A_SCDPT3!SCDPT3_531ENDINGG_14</vt:lpstr>
      <vt:lpstr>GMIC_22A_SCDPT3!SCDPT3_531ENDINGG_15</vt:lpstr>
      <vt:lpstr>GMIC_22A_SCDPT3!SCDPT3_531ENDINGG_2</vt:lpstr>
      <vt:lpstr>GMIC_22A_SCDPT3!SCDPT3_531ENDINGG_3</vt:lpstr>
      <vt:lpstr>GMIC_22A_SCDPT3!SCDPT3_531ENDINGG_4</vt:lpstr>
      <vt:lpstr>GMIC_22A_SCDPT3!SCDPT3_531ENDINGG_5</vt:lpstr>
      <vt:lpstr>GMIC_22A_SCDPT3!SCDPT3_531ENDINGG_6</vt:lpstr>
      <vt:lpstr>GMIC_22A_SCDPT3!SCDPT3_531ENDINGG_7</vt:lpstr>
      <vt:lpstr>GMIC_22A_SCDPT3!SCDPT3_531ENDINGG_8</vt:lpstr>
      <vt:lpstr>GMIC_22A_SCDPT3!SCDPT3_531ENDINGG_9</vt:lpstr>
      <vt:lpstr>GMIC_22A_SCDPT3!SCDPT3_5320000000_Range</vt:lpstr>
      <vt:lpstr>GMIC_22A_SCDPT3!SCDPT3_5329999999_7</vt:lpstr>
      <vt:lpstr>GMIC_22A_SCDPT3!SCDPT3_5329999999_9</vt:lpstr>
      <vt:lpstr>GMIC_22A_SCDPT3!SCDPT3_532BEGINNG_1</vt:lpstr>
      <vt:lpstr>GMIC_22A_SCDPT3!SCDPT3_532BEGINNG_10</vt:lpstr>
      <vt:lpstr>GMIC_22A_SCDPT3!SCDPT3_532BEGINNG_11</vt:lpstr>
      <vt:lpstr>GMIC_22A_SCDPT3!SCDPT3_532BEGINNG_12</vt:lpstr>
      <vt:lpstr>GMIC_22A_SCDPT3!SCDPT3_532BEGINNG_13</vt:lpstr>
      <vt:lpstr>GMIC_22A_SCDPT3!SCDPT3_532BEGINNG_14</vt:lpstr>
      <vt:lpstr>GMIC_22A_SCDPT3!SCDPT3_532BEGINNG_15</vt:lpstr>
      <vt:lpstr>GMIC_22A_SCDPT3!SCDPT3_532BEGINNG_2</vt:lpstr>
      <vt:lpstr>GMIC_22A_SCDPT3!SCDPT3_532BEGINNG_3</vt:lpstr>
      <vt:lpstr>GMIC_22A_SCDPT3!SCDPT3_532BEGINNG_4</vt:lpstr>
      <vt:lpstr>GMIC_22A_SCDPT3!SCDPT3_532BEGINNG_5</vt:lpstr>
      <vt:lpstr>GMIC_22A_SCDPT3!SCDPT3_532BEGINNG_6</vt:lpstr>
      <vt:lpstr>GMIC_22A_SCDPT3!SCDPT3_532BEGINNG_7</vt:lpstr>
      <vt:lpstr>GMIC_22A_SCDPT3!SCDPT3_532BEGINNG_8</vt:lpstr>
      <vt:lpstr>GMIC_22A_SCDPT3!SCDPT3_532BEGINNG_9</vt:lpstr>
      <vt:lpstr>GMIC_22A_SCDPT3!SCDPT3_532ENDINGG_10</vt:lpstr>
      <vt:lpstr>GMIC_22A_SCDPT3!SCDPT3_532ENDINGG_11</vt:lpstr>
      <vt:lpstr>GMIC_22A_SCDPT3!SCDPT3_532ENDINGG_12</vt:lpstr>
      <vt:lpstr>GMIC_22A_SCDPT3!SCDPT3_532ENDINGG_13</vt:lpstr>
      <vt:lpstr>GMIC_22A_SCDPT3!SCDPT3_532ENDINGG_14</vt:lpstr>
      <vt:lpstr>GMIC_22A_SCDPT3!SCDPT3_532ENDINGG_15</vt:lpstr>
      <vt:lpstr>GMIC_22A_SCDPT3!SCDPT3_532ENDINGG_2</vt:lpstr>
      <vt:lpstr>GMIC_22A_SCDPT3!SCDPT3_532ENDINGG_3</vt:lpstr>
      <vt:lpstr>GMIC_22A_SCDPT3!SCDPT3_532ENDINGG_4</vt:lpstr>
      <vt:lpstr>GMIC_22A_SCDPT3!SCDPT3_532ENDINGG_5</vt:lpstr>
      <vt:lpstr>GMIC_22A_SCDPT3!SCDPT3_532ENDINGG_6</vt:lpstr>
      <vt:lpstr>GMIC_22A_SCDPT3!SCDPT3_532ENDINGG_7</vt:lpstr>
      <vt:lpstr>GMIC_22A_SCDPT3!SCDPT3_532ENDINGG_8</vt:lpstr>
      <vt:lpstr>GMIC_22A_SCDPT3!SCDPT3_532ENDINGG_9</vt:lpstr>
      <vt:lpstr>GMIC_22A_SCDPT3!SCDPT3_5510000000_Range</vt:lpstr>
      <vt:lpstr>GMIC_22A_SCDPT3!SCDPT3_5519999999_7</vt:lpstr>
      <vt:lpstr>GMIC_22A_SCDPT3!SCDPT3_5519999999_9</vt:lpstr>
      <vt:lpstr>GMIC_22A_SCDPT3!SCDPT3_551BEGINNG_1</vt:lpstr>
      <vt:lpstr>GMIC_22A_SCDPT3!SCDPT3_551BEGINNG_10</vt:lpstr>
      <vt:lpstr>GMIC_22A_SCDPT3!SCDPT3_551BEGINNG_11</vt:lpstr>
      <vt:lpstr>GMIC_22A_SCDPT3!SCDPT3_551BEGINNG_12</vt:lpstr>
      <vt:lpstr>GMIC_22A_SCDPT3!SCDPT3_551BEGINNG_13</vt:lpstr>
      <vt:lpstr>GMIC_22A_SCDPT3!SCDPT3_551BEGINNG_14</vt:lpstr>
      <vt:lpstr>GMIC_22A_SCDPT3!SCDPT3_551BEGINNG_15</vt:lpstr>
      <vt:lpstr>GMIC_22A_SCDPT3!SCDPT3_551BEGINNG_2</vt:lpstr>
      <vt:lpstr>GMIC_22A_SCDPT3!SCDPT3_551BEGINNG_3</vt:lpstr>
      <vt:lpstr>GMIC_22A_SCDPT3!SCDPT3_551BEGINNG_4</vt:lpstr>
      <vt:lpstr>GMIC_22A_SCDPT3!SCDPT3_551BEGINNG_5</vt:lpstr>
      <vt:lpstr>GMIC_22A_SCDPT3!SCDPT3_551BEGINNG_6</vt:lpstr>
      <vt:lpstr>GMIC_22A_SCDPT3!SCDPT3_551BEGINNG_7</vt:lpstr>
      <vt:lpstr>GMIC_22A_SCDPT3!SCDPT3_551BEGINNG_8</vt:lpstr>
      <vt:lpstr>GMIC_22A_SCDPT3!SCDPT3_551BEGINNG_9</vt:lpstr>
      <vt:lpstr>GMIC_22A_SCDPT3!SCDPT3_551ENDINGG_10</vt:lpstr>
      <vt:lpstr>GMIC_22A_SCDPT3!SCDPT3_551ENDINGG_11</vt:lpstr>
      <vt:lpstr>GMIC_22A_SCDPT3!SCDPT3_551ENDINGG_12</vt:lpstr>
      <vt:lpstr>GMIC_22A_SCDPT3!SCDPT3_551ENDINGG_13</vt:lpstr>
      <vt:lpstr>GMIC_22A_SCDPT3!SCDPT3_551ENDINGG_14</vt:lpstr>
      <vt:lpstr>GMIC_22A_SCDPT3!SCDPT3_551ENDINGG_15</vt:lpstr>
      <vt:lpstr>GMIC_22A_SCDPT3!SCDPT3_551ENDINGG_2</vt:lpstr>
      <vt:lpstr>GMIC_22A_SCDPT3!SCDPT3_551ENDINGG_3</vt:lpstr>
      <vt:lpstr>GMIC_22A_SCDPT3!SCDPT3_551ENDINGG_4</vt:lpstr>
      <vt:lpstr>GMIC_22A_SCDPT3!SCDPT3_551ENDINGG_5</vt:lpstr>
      <vt:lpstr>GMIC_22A_SCDPT3!SCDPT3_551ENDINGG_6</vt:lpstr>
      <vt:lpstr>GMIC_22A_SCDPT3!SCDPT3_551ENDINGG_7</vt:lpstr>
      <vt:lpstr>GMIC_22A_SCDPT3!SCDPT3_551ENDINGG_8</vt:lpstr>
      <vt:lpstr>GMIC_22A_SCDPT3!SCDPT3_551ENDINGG_9</vt:lpstr>
      <vt:lpstr>GMIC_22A_SCDPT3!SCDPT3_5520000000_Range</vt:lpstr>
      <vt:lpstr>GMIC_22A_SCDPT3!SCDPT3_5529999999_7</vt:lpstr>
      <vt:lpstr>GMIC_22A_SCDPT3!SCDPT3_5529999999_9</vt:lpstr>
      <vt:lpstr>GMIC_22A_SCDPT3!SCDPT3_552BEGINNG_1</vt:lpstr>
      <vt:lpstr>GMIC_22A_SCDPT3!SCDPT3_552BEGINNG_10</vt:lpstr>
      <vt:lpstr>GMIC_22A_SCDPT3!SCDPT3_552BEGINNG_11</vt:lpstr>
      <vt:lpstr>GMIC_22A_SCDPT3!SCDPT3_552BEGINNG_12</vt:lpstr>
      <vt:lpstr>GMIC_22A_SCDPT3!SCDPT3_552BEGINNG_13</vt:lpstr>
      <vt:lpstr>GMIC_22A_SCDPT3!SCDPT3_552BEGINNG_14</vt:lpstr>
      <vt:lpstr>GMIC_22A_SCDPT3!SCDPT3_552BEGINNG_15</vt:lpstr>
      <vt:lpstr>GMIC_22A_SCDPT3!SCDPT3_552BEGINNG_2</vt:lpstr>
      <vt:lpstr>GMIC_22A_SCDPT3!SCDPT3_552BEGINNG_3</vt:lpstr>
      <vt:lpstr>GMIC_22A_SCDPT3!SCDPT3_552BEGINNG_4</vt:lpstr>
      <vt:lpstr>GMIC_22A_SCDPT3!SCDPT3_552BEGINNG_5</vt:lpstr>
      <vt:lpstr>GMIC_22A_SCDPT3!SCDPT3_552BEGINNG_6</vt:lpstr>
      <vt:lpstr>GMIC_22A_SCDPT3!SCDPT3_552BEGINNG_7</vt:lpstr>
      <vt:lpstr>GMIC_22A_SCDPT3!SCDPT3_552BEGINNG_8</vt:lpstr>
      <vt:lpstr>GMIC_22A_SCDPT3!SCDPT3_552BEGINNG_9</vt:lpstr>
      <vt:lpstr>GMIC_22A_SCDPT3!SCDPT3_552ENDINGG_10</vt:lpstr>
      <vt:lpstr>GMIC_22A_SCDPT3!SCDPT3_552ENDINGG_11</vt:lpstr>
      <vt:lpstr>GMIC_22A_SCDPT3!SCDPT3_552ENDINGG_12</vt:lpstr>
      <vt:lpstr>GMIC_22A_SCDPT3!SCDPT3_552ENDINGG_13</vt:lpstr>
      <vt:lpstr>GMIC_22A_SCDPT3!SCDPT3_552ENDINGG_14</vt:lpstr>
      <vt:lpstr>GMIC_22A_SCDPT3!SCDPT3_552ENDINGG_15</vt:lpstr>
      <vt:lpstr>GMIC_22A_SCDPT3!SCDPT3_552ENDINGG_2</vt:lpstr>
      <vt:lpstr>GMIC_22A_SCDPT3!SCDPT3_552ENDINGG_3</vt:lpstr>
      <vt:lpstr>GMIC_22A_SCDPT3!SCDPT3_552ENDINGG_4</vt:lpstr>
      <vt:lpstr>GMIC_22A_SCDPT3!SCDPT3_552ENDINGG_5</vt:lpstr>
      <vt:lpstr>GMIC_22A_SCDPT3!SCDPT3_552ENDINGG_6</vt:lpstr>
      <vt:lpstr>GMIC_22A_SCDPT3!SCDPT3_552ENDINGG_7</vt:lpstr>
      <vt:lpstr>GMIC_22A_SCDPT3!SCDPT3_552ENDINGG_8</vt:lpstr>
      <vt:lpstr>GMIC_22A_SCDPT3!SCDPT3_552ENDINGG_9</vt:lpstr>
      <vt:lpstr>GMIC_22A_SCDPT3!SCDPT3_5710000000_Range</vt:lpstr>
      <vt:lpstr>GMIC_22A_SCDPT3!SCDPT3_5719999999_7</vt:lpstr>
      <vt:lpstr>GMIC_22A_SCDPT3!SCDPT3_5719999999_9</vt:lpstr>
      <vt:lpstr>GMIC_22A_SCDPT3!SCDPT3_571BEGINNG_1</vt:lpstr>
      <vt:lpstr>GMIC_22A_SCDPT3!SCDPT3_571BEGINNG_10</vt:lpstr>
      <vt:lpstr>GMIC_22A_SCDPT3!SCDPT3_571BEGINNG_11</vt:lpstr>
      <vt:lpstr>GMIC_22A_SCDPT3!SCDPT3_571BEGINNG_12</vt:lpstr>
      <vt:lpstr>GMIC_22A_SCDPT3!SCDPT3_571BEGINNG_13</vt:lpstr>
      <vt:lpstr>GMIC_22A_SCDPT3!SCDPT3_571BEGINNG_14</vt:lpstr>
      <vt:lpstr>GMIC_22A_SCDPT3!SCDPT3_571BEGINNG_15</vt:lpstr>
      <vt:lpstr>GMIC_22A_SCDPT3!SCDPT3_571BEGINNG_2</vt:lpstr>
      <vt:lpstr>GMIC_22A_SCDPT3!SCDPT3_571BEGINNG_3</vt:lpstr>
      <vt:lpstr>GMIC_22A_SCDPT3!SCDPT3_571BEGINNG_4</vt:lpstr>
      <vt:lpstr>GMIC_22A_SCDPT3!SCDPT3_571BEGINNG_5</vt:lpstr>
      <vt:lpstr>GMIC_22A_SCDPT3!SCDPT3_571BEGINNG_6</vt:lpstr>
      <vt:lpstr>GMIC_22A_SCDPT3!SCDPT3_571BEGINNG_7</vt:lpstr>
      <vt:lpstr>GMIC_22A_SCDPT3!SCDPT3_571BEGINNG_8</vt:lpstr>
      <vt:lpstr>GMIC_22A_SCDPT3!SCDPT3_571BEGINNG_9</vt:lpstr>
      <vt:lpstr>GMIC_22A_SCDPT3!SCDPT3_571ENDINGG_10</vt:lpstr>
      <vt:lpstr>GMIC_22A_SCDPT3!SCDPT3_571ENDINGG_11</vt:lpstr>
      <vt:lpstr>GMIC_22A_SCDPT3!SCDPT3_571ENDINGG_12</vt:lpstr>
      <vt:lpstr>GMIC_22A_SCDPT3!SCDPT3_571ENDINGG_13</vt:lpstr>
      <vt:lpstr>GMIC_22A_SCDPT3!SCDPT3_571ENDINGG_14</vt:lpstr>
      <vt:lpstr>GMIC_22A_SCDPT3!SCDPT3_571ENDINGG_15</vt:lpstr>
      <vt:lpstr>GMIC_22A_SCDPT3!SCDPT3_571ENDINGG_2</vt:lpstr>
      <vt:lpstr>GMIC_22A_SCDPT3!SCDPT3_571ENDINGG_3</vt:lpstr>
      <vt:lpstr>GMIC_22A_SCDPT3!SCDPT3_571ENDINGG_4</vt:lpstr>
      <vt:lpstr>GMIC_22A_SCDPT3!SCDPT3_571ENDINGG_5</vt:lpstr>
      <vt:lpstr>GMIC_22A_SCDPT3!SCDPT3_571ENDINGG_6</vt:lpstr>
      <vt:lpstr>GMIC_22A_SCDPT3!SCDPT3_571ENDINGG_7</vt:lpstr>
      <vt:lpstr>GMIC_22A_SCDPT3!SCDPT3_571ENDINGG_8</vt:lpstr>
      <vt:lpstr>GMIC_22A_SCDPT3!SCDPT3_571ENDINGG_9</vt:lpstr>
      <vt:lpstr>GMIC_22A_SCDPT3!SCDPT3_5720000000_Range</vt:lpstr>
      <vt:lpstr>GMIC_22A_SCDPT3!SCDPT3_5729999999_7</vt:lpstr>
      <vt:lpstr>GMIC_22A_SCDPT3!SCDPT3_5729999999_9</vt:lpstr>
      <vt:lpstr>GMIC_22A_SCDPT3!SCDPT3_572BEGINNG_1</vt:lpstr>
      <vt:lpstr>GMIC_22A_SCDPT3!SCDPT3_572BEGINNG_10</vt:lpstr>
      <vt:lpstr>GMIC_22A_SCDPT3!SCDPT3_572BEGINNG_11</vt:lpstr>
      <vt:lpstr>GMIC_22A_SCDPT3!SCDPT3_572BEGINNG_12</vt:lpstr>
      <vt:lpstr>GMIC_22A_SCDPT3!SCDPT3_572BEGINNG_13</vt:lpstr>
      <vt:lpstr>GMIC_22A_SCDPT3!SCDPT3_572BEGINNG_14</vt:lpstr>
      <vt:lpstr>GMIC_22A_SCDPT3!SCDPT3_572BEGINNG_15</vt:lpstr>
      <vt:lpstr>GMIC_22A_SCDPT3!SCDPT3_572BEGINNG_2</vt:lpstr>
      <vt:lpstr>GMIC_22A_SCDPT3!SCDPT3_572BEGINNG_3</vt:lpstr>
      <vt:lpstr>GMIC_22A_SCDPT3!SCDPT3_572BEGINNG_4</vt:lpstr>
      <vt:lpstr>GMIC_22A_SCDPT3!SCDPT3_572BEGINNG_5</vt:lpstr>
      <vt:lpstr>GMIC_22A_SCDPT3!SCDPT3_572BEGINNG_6</vt:lpstr>
      <vt:lpstr>GMIC_22A_SCDPT3!SCDPT3_572BEGINNG_7</vt:lpstr>
      <vt:lpstr>GMIC_22A_SCDPT3!SCDPT3_572BEGINNG_8</vt:lpstr>
      <vt:lpstr>GMIC_22A_SCDPT3!SCDPT3_572BEGINNG_9</vt:lpstr>
      <vt:lpstr>GMIC_22A_SCDPT3!SCDPT3_572ENDINGG_10</vt:lpstr>
      <vt:lpstr>GMIC_22A_SCDPT3!SCDPT3_572ENDINGG_11</vt:lpstr>
      <vt:lpstr>GMIC_22A_SCDPT3!SCDPT3_572ENDINGG_12</vt:lpstr>
      <vt:lpstr>GMIC_22A_SCDPT3!SCDPT3_572ENDINGG_13</vt:lpstr>
      <vt:lpstr>GMIC_22A_SCDPT3!SCDPT3_572ENDINGG_14</vt:lpstr>
      <vt:lpstr>GMIC_22A_SCDPT3!SCDPT3_572ENDINGG_15</vt:lpstr>
      <vt:lpstr>GMIC_22A_SCDPT3!SCDPT3_572ENDINGG_2</vt:lpstr>
      <vt:lpstr>GMIC_22A_SCDPT3!SCDPT3_572ENDINGG_3</vt:lpstr>
      <vt:lpstr>GMIC_22A_SCDPT3!SCDPT3_572ENDINGG_4</vt:lpstr>
      <vt:lpstr>GMIC_22A_SCDPT3!SCDPT3_572ENDINGG_5</vt:lpstr>
      <vt:lpstr>GMIC_22A_SCDPT3!SCDPT3_572ENDINGG_6</vt:lpstr>
      <vt:lpstr>GMIC_22A_SCDPT3!SCDPT3_572ENDINGG_7</vt:lpstr>
      <vt:lpstr>GMIC_22A_SCDPT3!SCDPT3_572ENDINGG_8</vt:lpstr>
      <vt:lpstr>GMIC_22A_SCDPT3!SCDPT3_572ENDINGG_9</vt:lpstr>
      <vt:lpstr>GMIC_22A_SCDPT3!SCDPT3_5810000000_Range</vt:lpstr>
      <vt:lpstr>GMIC_22A_SCDPT3!SCDPT3_5819999999_7</vt:lpstr>
      <vt:lpstr>GMIC_22A_SCDPT3!SCDPT3_5819999999_9</vt:lpstr>
      <vt:lpstr>GMIC_22A_SCDPT3!SCDPT3_581BEGINNG_1</vt:lpstr>
      <vt:lpstr>GMIC_22A_SCDPT3!SCDPT3_581BEGINNG_10</vt:lpstr>
      <vt:lpstr>GMIC_22A_SCDPT3!SCDPT3_581BEGINNG_11</vt:lpstr>
      <vt:lpstr>GMIC_22A_SCDPT3!SCDPT3_581BEGINNG_12</vt:lpstr>
      <vt:lpstr>GMIC_22A_SCDPT3!SCDPT3_581BEGINNG_13</vt:lpstr>
      <vt:lpstr>GMIC_22A_SCDPT3!SCDPT3_581BEGINNG_14</vt:lpstr>
      <vt:lpstr>GMIC_22A_SCDPT3!SCDPT3_581BEGINNG_15</vt:lpstr>
      <vt:lpstr>GMIC_22A_SCDPT3!SCDPT3_581BEGINNG_2</vt:lpstr>
      <vt:lpstr>GMIC_22A_SCDPT3!SCDPT3_581BEGINNG_3</vt:lpstr>
      <vt:lpstr>GMIC_22A_SCDPT3!SCDPT3_581BEGINNG_4</vt:lpstr>
      <vt:lpstr>GMIC_22A_SCDPT3!SCDPT3_581BEGINNG_5</vt:lpstr>
      <vt:lpstr>GMIC_22A_SCDPT3!SCDPT3_581BEGINNG_6</vt:lpstr>
      <vt:lpstr>GMIC_22A_SCDPT3!SCDPT3_581BEGINNG_7</vt:lpstr>
      <vt:lpstr>GMIC_22A_SCDPT3!SCDPT3_581BEGINNG_8</vt:lpstr>
      <vt:lpstr>GMIC_22A_SCDPT3!SCDPT3_581BEGINNG_9</vt:lpstr>
      <vt:lpstr>GMIC_22A_SCDPT3!SCDPT3_581ENDINGG_10</vt:lpstr>
      <vt:lpstr>GMIC_22A_SCDPT3!SCDPT3_581ENDINGG_11</vt:lpstr>
      <vt:lpstr>GMIC_22A_SCDPT3!SCDPT3_581ENDINGG_12</vt:lpstr>
      <vt:lpstr>GMIC_22A_SCDPT3!SCDPT3_581ENDINGG_13</vt:lpstr>
      <vt:lpstr>GMIC_22A_SCDPT3!SCDPT3_581ENDINGG_14</vt:lpstr>
      <vt:lpstr>GMIC_22A_SCDPT3!SCDPT3_581ENDINGG_15</vt:lpstr>
      <vt:lpstr>GMIC_22A_SCDPT3!SCDPT3_581ENDINGG_2</vt:lpstr>
      <vt:lpstr>GMIC_22A_SCDPT3!SCDPT3_581ENDINGG_3</vt:lpstr>
      <vt:lpstr>GMIC_22A_SCDPT3!SCDPT3_581ENDINGG_4</vt:lpstr>
      <vt:lpstr>GMIC_22A_SCDPT3!SCDPT3_581ENDINGG_5</vt:lpstr>
      <vt:lpstr>GMIC_22A_SCDPT3!SCDPT3_581ENDINGG_6</vt:lpstr>
      <vt:lpstr>GMIC_22A_SCDPT3!SCDPT3_581ENDINGG_7</vt:lpstr>
      <vt:lpstr>GMIC_22A_SCDPT3!SCDPT3_581ENDINGG_8</vt:lpstr>
      <vt:lpstr>GMIC_22A_SCDPT3!SCDPT3_581ENDINGG_9</vt:lpstr>
      <vt:lpstr>GMIC_22A_SCDPT3!SCDPT3_5910000000_Range</vt:lpstr>
      <vt:lpstr>GMIC_22A_SCDPT3!SCDPT3_5919999999_7</vt:lpstr>
      <vt:lpstr>GMIC_22A_SCDPT3!SCDPT3_5919999999_9</vt:lpstr>
      <vt:lpstr>GMIC_22A_SCDPT3!SCDPT3_591BEGINNG_1</vt:lpstr>
      <vt:lpstr>GMIC_22A_SCDPT3!SCDPT3_591BEGINNG_10</vt:lpstr>
      <vt:lpstr>GMIC_22A_SCDPT3!SCDPT3_591BEGINNG_11</vt:lpstr>
      <vt:lpstr>GMIC_22A_SCDPT3!SCDPT3_591BEGINNG_12</vt:lpstr>
      <vt:lpstr>GMIC_22A_SCDPT3!SCDPT3_591BEGINNG_13</vt:lpstr>
      <vt:lpstr>GMIC_22A_SCDPT3!SCDPT3_591BEGINNG_14</vt:lpstr>
      <vt:lpstr>GMIC_22A_SCDPT3!SCDPT3_591BEGINNG_15</vt:lpstr>
      <vt:lpstr>GMIC_22A_SCDPT3!SCDPT3_591BEGINNG_2</vt:lpstr>
      <vt:lpstr>GMIC_22A_SCDPT3!SCDPT3_591BEGINNG_3</vt:lpstr>
      <vt:lpstr>GMIC_22A_SCDPT3!SCDPT3_591BEGINNG_4</vt:lpstr>
      <vt:lpstr>GMIC_22A_SCDPT3!SCDPT3_591BEGINNG_5</vt:lpstr>
      <vt:lpstr>GMIC_22A_SCDPT3!SCDPT3_591BEGINNG_6</vt:lpstr>
      <vt:lpstr>GMIC_22A_SCDPT3!SCDPT3_591BEGINNG_7</vt:lpstr>
      <vt:lpstr>GMIC_22A_SCDPT3!SCDPT3_591BEGINNG_8</vt:lpstr>
      <vt:lpstr>GMIC_22A_SCDPT3!SCDPT3_591BEGINNG_9</vt:lpstr>
      <vt:lpstr>GMIC_22A_SCDPT3!SCDPT3_591ENDINGG_10</vt:lpstr>
      <vt:lpstr>GMIC_22A_SCDPT3!SCDPT3_591ENDINGG_11</vt:lpstr>
      <vt:lpstr>GMIC_22A_SCDPT3!SCDPT3_591ENDINGG_12</vt:lpstr>
      <vt:lpstr>GMIC_22A_SCDPT3!SCDPT3_591ENDINGG_13</vt:lpstr>
      <vt:lpstr>GMIC_22A_SCDPT3!SCDPT3_591ENDINGG_14</vt:lpstr>
      <vt:lpstr>GMIC_22A_SCDPT3!SCDPT3_591ENDINGG_15</vt:lpstr>
      <vt:lpstr>GMIC_22A_SCDPT3!SCDPT3_591ENDINGG_2</vt:lpstr>
      <vt:lpstr>GMIC_22A_SCDPT3!SCDPT3_591ENDINGG_3</vt:lpstr>
      <vt:lpstr>GMIC_22A_SCDPT3!SCDPT3_591ENDINGG_4</vt:lpstr>
      <vt:lpstr>GMIC_22A_SCDPT3!SCDPT3_591ENDINGG_5</vt:lpstr>
      <vt:lpstr>GMIC_22A_SCDPT3!SCDPT3_591ENDINGG_6</vt:lpstr>
      <vt:lpstr>GMIC_22A_SCDPT3!SCDPT3_591ENDINGG_7</vt:lpstr>
      <vt:lpstr>GMIC_22A_SCDPT3!SCDPT3_591ENDINGG_8</vt:lpstr>
      <vt:lpstr>GMIC_22A_SCDPT3!SCDPT3_591ENDINGG_9</vt:lpstr>
      <vt:lpstr>GMIC_22A_SCDPT3!SCDPT3_5920000000_Range</vt:lpstr>
      <vt:lpstr>GMIC_22A_SCDPT3!SCDPT3_5929999999_7</vt:lpstr>
      <vt:lpstr>GMIC_22A_SCDPT3!SCDPT3_5929999999_9</vt:lpstr>
      <vt:lpstr>GMIC_22A_SCDPT3!SCDPT3_592BEGINNG_1</vt:lpstr>
      <vt:lpstr>GMIC_22A_SCDPT3!SCDPT3_592BEGINNG_10</vt:lpstr>
      <vt:lpstr>GMIC_22A_SCDPT3!SCDPT3_592BEGINNG_11</vt:lpstr>
      <vt:lpstr>GMIC_22A_SCDPT3!SCDPT3_592BEGINNG_12</vt:lpstr>
      <vt:lpstr>GMIC_22A_SCDPT3!SCDPT3_592BEGINNG_13</vt:lpstr>
      <vt:lpstr>GMIC_22A_SCDPT3!SCDPT3_592BEGINNG_14</vt:lpstr>
      <vt:lpstr>GMIC_22A_SCDPT3!SCDPT3_592BEGINNG_15</vt:lpstr>
      <vt:lpstr>GMIC_22A_SCDPT3!SCDPT3_592BEGINNG_2</vt:lpstr>
      <vt:lpstr>GMIC_22A_SCDPT3!SCDPT3_592BEGINNG_3</vt:lpstr>
      <vt:lpstr>GMIC_22A_SCDPT3!SCDPT3_592BEGINNG_4</vt:lpstr>
      <vt:lpstr>GMIC_22A_SCDPT3!SCDPT3_592BEGINNG_5</vt:lpstr>
      <vt:lpstr>GMIC_22A_SCDPT3!SCDPT3_592BEGINNG_6</vt:lpstr>
      <vt:lpstr>GMIC_22A_SCDPT3!SCDPT3_592BEGINNG_7</vt:lpstr>
      <vt:lpstr>GMIC_22A_SCDPT3!SCDPT3_592BEGINNG_8</vt:lpstr>
      <vt:lpstr>GMIC_22A_SCDPT3!SCDPT3_592BEGINNG_9</vt:lpstr>
      <vt:lpstr>GMIC_22A_SCDPT3!SCDPT3_592ENDINGG_10</vt:lpstr>
      <vt:lpstr>GMIC_22A_SCDPT3!SCDPT3_592ENDINGG_11</vt:lpstr>
      <vt:lpstr>GMIC_22A_SCDPT3!SCDPT3_592ENDINGG_12</vt:lpstr>
      <vt:lpstr>GMIC_22A_SCDPT3!SCDPT3_592ENDINGG_13</vt:lpstr>
      <vt:lpstr>GMIC_22A_SCDPT3!SCDPT3_592ENDINGG_14</vt:lpstr>
      <vt:lpstr>GMIC_22A_SCDPT3!SCDPT3_592ENDINGG_15</vt:lpstr>
      <vt:lpstr>GMIC_22A_SCDPT3!SCDPT3_592ENDINGG_2</vt:lpstr>
      <vt:lpstr>GMIC_22A_SCDPT3!SCDPT3_592ENDINGG_3</vt:lpstr>
      <vt:lpstr>GMIC_22A_SCDPT3!SCDPT3_592ENDINGG_4</vt:lpstr>
      <vt:lpstr>GMIC_22A_SCDPT3!SCDPT3_592ENDINGG_5</vt:lpstr>
      <vt:lpstr>GMIC_22A_SCDPT3!SCDPT3_592ENDINGG_6</vt:lpstr>
      <vt:lpstr>GMIC_22A_SCDPT3!SCDPT3_592ENDINGG_7</vt:lpstr>
      <vt:lpstr>GMIC_22A_SCDPT3!SCDPT3_592ENDINGG_8</vt:lpstr>
      <vt:lpstr>GMIC_22A_SCDPT3!SCDPT3_592ENDINGG_9</vt:lpstr>
      <vt:lpstr>GMIC_22A_SCDPT3!SCDPT3_5989999997_7</vt:lpstr>
      <vt:lpstr>GMIC_22A_SCDPT3!SCDPT3_5989999997_9</vt:lpstr>
      <vt:lpstr>GMIC_22A_SCDPT3!SCDPT3_5989999998_7</vt:lpstr>
      <vt:lpstr>GMIC_22A_SCDPT3!SCDPT3_5989999998_9</vt:lpstr>
      <vt:lpstr>GMIC_22A_SCDPT3!SCDPT3_5989999999_7</vt:lpstr>
      <vt:lpstr>GMIC_22A_SCDPT3!SCDPT3_5989999999_9</vt:lpstr>
      <vt:lpstr>GMIC_22A_SCDPT3!SCDPT3_5999999999_7</vt:lpstr>
      <vt:lpstr>GMIC_22A_SCDPT3!SCDPT3_5999999999_9</vt:lpstr>
      <vt:lpstr>GMIC_22A_SCDPT3!SCDPT3_6009999999_7</vt:lpstr>
      <vt:lpstr>GMIC_22A_SCDPT3!SCDPT3_6009999999_9</vt:lpstr>
      <vt:lpstr>GMIC_22A_SCDPT4!SCDPT4_0100000000_Range</vt:lpstr>
      <vt:lpstr>GMIC_22A_SCDPT4!SCDPT4_0100000001_1</vt:lpstr>
      <vt:lpstr>GMIC_22A_SCDPT4!SCDPT4_0100000001_10</vt:lpstr>
      <vt:lpstr>GMIC_22A_SCDPT4!SCDPT4_0100000001_11</vt:lpstr>
      <vt:lpstr>GMIC_22A_SCDPT4!SCDPT4_0100000001_12</vt:lpstr>
      <vt:lpstr>GMIC_22A_SCDPT4!SCDPT4_0100000001_13</vt:lpstr>
      <vt:lpstr>GMIC_22A_SCDPT4!SCDPT4_0100000001_14</vt:lpstr>
      <vt:lpstr>GMIC_22A_SCDPT4!SCDPT4_0100000001_15</vt:lpstr>
      <vt:lpstr>GMIC_22A_SCDPT4!SCDPT4_0100000001_16</vt:lpstr>
      <vt:lpstr>GMIC_22A_SCDPT4!SCDPT4_0100000001_17</vt:lpstr>
      <vt:lpstr>GMIC_22A_SCDPT4!SCDPT4_0100000001_18</vt:lpstr>
      <vt:lpstr>GMIC_22A_SCDPT4!SCDPT4_0100000001_19</vt:lpstr>
      <vt:lpstr>GMIC_22A_SCDPT4!SCDPT4_0100000001_2</vt:lpstr>
      <vt:lpstr>GMIC_22A_SCDPT4!SCDPT4_0100000001_20</vt:lpstr>
      <vt:lpstr>GMIC_22A_SCDPT4!SCDPT4_0100000001_21</vt:lpstr>
      <vt:lpstr>GMIC_22A_SCDPT4!SCDPT4_0100000001_23</vt:lpstr>
      <vt:lpstr>GMIC_22A_SCDPT4!SCDPT4_0100000001_24</vt:lpstr>
      <vt:lpstr>GMIC_22A_SCDPT4!SCDPT4_0100000001_25</vt:lpstr>
      <vt:lpstr>GMIC_22A_SCDPT4!SCDPT4_0100000001_26</vt:lpstr>
      <vt:lpstr>GMIC_22A_SCDPT4!SCDPT4_0100000001_27</vt:lpstr>
      <vt:lpstr>GMIC_22A_SCDPT4!SCDPT4_0100000001_3</vt:lpstr>
      <vt:lpstr>GMIC_22A_SCDPT4!SCDPT4_0100000001_4</vt:lpstr>
      <vt:lpstr>GMIC_22A_SCDPT4!SCDPT4_0100000001_5</vt:lpstr>
      <vt:lpstr>GMIC_22A_SCDPT4!SCDPT4_0100000001_7</vt:lpstr>
      <vt:lpstr>GMIC_22A_SCDPT4!SCDPT4_0100000001_8</vt:lpstr>
      <vt:lpstr>GMIC_22A_SCDPT4!SCDPT4_0100000001_9</vt:lpstr>
      <vt:lpstr>GMIC_22A_SCDPT4!SCDPT4_0109999999_10</vt:lpstr>
      <vt:lpstr>GMIC_22A_SCDPT4!SCDPT4_0109999999_11</vt:lpstr>
      <vt:lpstr>GMIC_22A_SCDPT4!SCDPT4_0109999999_12</vt:lpstr>
      <vt:lpstr>GMIC_22A_SCDPT4!SCDPT4_0109999999_13</vt:lpstr>
      <vt:lpstr>GMIC_22A_SCDPT4!SCDPT4_0109999999_14</vt:lpstr>
      <vt:lpstr>GMIC_22A_SCDPT4!SCDPT4_0109999999_15</vt:lpstr>
      <vt:lpstr>GMIC_22A_SCDPT4!SCDPT4_0109999999_16</vt:lpstr>
      <vt:lpstr>GMIC_22A_SCDPT4!SCDPT4_0109999999_17</vt:lpstr>
      <vt:lpstr>GMIC_22A_SCDPT4!SCDPT4_0109999999_18</vt:lpstr>
      <vt:lpstr>GMIC_22A_SCDPT4!SCDPT4_0109999999_19</vt:lpstr>
      <vt:lpstr>GMIC_22A_SCDPT4!SCDPT4_0109999999_20</vt:lpstr>
      <vt:lpstr>GMIC_22A_SCDPT4!SCDPT4_0109999999_7</vt:lpstr>
      <vt:lpstr>GMIC_22A_SCDPT4!SCDPT4_0109999999_8</vt:lpstr>
      <vt:lpstr>GMIC_22A_SCDPT4!SCDPT4_0109999999_9</vt:lpstr>
      <vt:lpstr>GMIC_22A_SCDPT4!SCDPT4_010BEGINNG_1</vt:lpstr>
      <vt:lpstr>GMIC_22A_SCDPT4!SCDPT4_010BEGINNG_10</vt:lpstr>
      <vt:lpstr>GMIC_22A_SCDPT4!SCDPT4_010BEGINNG_11</vt:lpstr>
      <vt:lpstr>GMIC_22A_SCDPT4!SCDPT4_010BEGINNG_12</vt:lpstr>
      <vt:lpstr>GMIC_22A_SCDPT4!SCDPT4_010BEGINNG_13</vt:lpstr>
      <vt:lpstr>GMIC_22A_SCDPT4!SCDPT4_010BEGINNG_14</vt:lpstr>
      <vt:lpstr>GMIC_22A_SCDPT4!SCDPT4_010BEGINNG_15</vt:lpstr>
      <vt:lpstr>GMIC_22A_SCDPT4!SCDPT4_010BEGINNG_16</vt:lpstr>
      <vt:lpstr>GMIC_22A_SCDPT4!SCDPT4_010BEGINNG_17</vt:lpstr>
      <vt:lpstr>GMIC_22A_SCDPT4!SCDPT4_010BEGINNG_18</vt:lpstr>
      <vt:lpstr>GMIC_22A_SCDPT4!SCDPT4_010BEGINNG_19</vt:lpstr>
      <vt:lpstr>GMIC_22A_SCDPT4!SCDPT4_010BEGINNG_2</vt:lpstr>
      <vt:lpstr>GMIC_22A_SCDPT4!SCDPT4_010BEGINNG_20</vt:lpstr>
      <vt:lpstr>GMIC_22A_SCDPT4!SCDPT4_010BEGINNG_21</vt:lpstr>
      <vt:lpstr>GMIC_22A_SCDPT4!SCDPT4_010BEGINNG_22</vt:lpstr>
      <vt:lpstr>GMIC_22A_SCDPT4!SCDPT4_010BEGINNG_23</vt:lpstr>
      <vt:lpstr>GMIC_22A_SCDPT4!SCDPT4_010BEGINNG_24</vt:lpstr>
      <vt:lpstr>GMIC_22A_SCDPT4!SCDPT4_010BEGINNG_25</vt:lpstr>
      <vt:lpstr>GMIC_22A_SCDPT4!SCDPT4_010BEGINNG_26</vt:lpstr>
      <vt:lpstr>GMIC_22A_SCDPT4!SCDPT4_010BEGINNG_27</vt:lpstr>
      <vt:lpstr>GMIC_22A_SCDPT4!SCDPT4_010BEGINNG_3</vt:lpstr>
      <vt:lpstr>GMIC_22A_SCDPT4!SCDPT4_010BEGINNG_4</vt:lpstr>
      <vt:lpstr>GMIC_22A_SCDPT4!SCDPT4_010BEGINNG_5</vt:lpstr>
      <vt:lpstr>GMIC_22A_SCDPT4!SCDPT4_010BEGINNG_6</vt:lpstr>
      <vt:lpstr>GMIC_22A_SCDPT4!SCDPT4_010BEGINNG_7</vt:lpstr>
      <vt:lpstr>GMIC_22A_SCDPT4!SCDPT4_010BEGINNG_8</vt:lpstr>
      <vt:lpstr>GMIC_22A_SCDPT4!SCDPT4_010BEGINNG_9</vt:lpstr>
      <vt:lpstr>GMIC_22A_SCDPT4!SCDPT4_010ENDINGG_10</vt:lpstr>
      <vt:lpstr>GMIC_22A_SCDPT4!SCDPT4_010ENDINGG_11</vt:lpstr>
      <vt:lpstr>GMIC_22A_SCDPT4!SCDPT4_010ENDINGG_12</vt:lpstr>
      <vt:lpstr>GMIC_22A_SCDPT4!SCDPT4_010ENDINGG_13</vt:lpstr>
      <vt:lpstr>GMIC_22A_SCDPT4!SCDPT4_010ENDINGG_14</vt:lpstr>
      <vt:lpstr>GMIC_22A_SCDPT4!SCDPT4_010ENDINGG_15</vt:lpstr>
      <vt:lpstr>GMIC_22A_SCDPT4!SCDPT4_010ENDINGG_16</vt:lpstr>
      <vt:lpstr>GMIC_22A_SCDPT4!SCDPT4_010ENDINGG_17</vt:lpstr>
      <vt:lpstr>GMIC_22A_SCDPT4!SCDPT4_010ENDINGG_18</vt:lpstr>
      <vt:lpstr>GMIC_22A_SCDPT4!SCDPT4_010ENDINGG_19</vt:lpstr>
      <vt:lpstr>GMIC_22A_SCDPT4!SCDPT4_010ENDINGG_2</vt:lpstr>
      <vt:lpstr>GMIC_22A_SCDPT4!SCDPT4_010ENDINGG_20</vt:lpstr>
      <vt:lpstr>GMIC_22A_SCDPT4!SCDPT4_010ENDINGG_21</vt:lpstr>
      <vt:lpstr>GMIC_22A_SCDPT4!SCDPT4_010ENDINGG_22</vt:lpstr>
      <vt:lpstr>GMIC_22A_SCDPT4!SCDPT4_010ENDINGG_23</vt:lpstr>
      <vt:lpstr>GMIC_22A_SCDPT4!SCDPT4_010ENDINGG_24</vt:lpstr>
      <vt:lpstr>GMIC_22A_SCDPT4!SCDPT4_010ENDINGG_25</vt:lpstr>
      <vt:lpstr>GMIC_22A_SCDPT4!SCDPT4_010ENDINGG_26</vt:lpstr>
      <vt:lpstr>GMIC_22A_SCDPT4!SCDPT4_010ENDINGG_27</vt:lpstr>
      <vt:lpstr>GMIC_22A_SCDPT4!SCDPT4_010ENDINGG_3</vt:lpstr>
      <vt:lpstr>GMIC_22A_SCDPT4!SCDPT4_010ENDINGG_4</vt:lpstr>
      <vt:lpstr>GMIC_22A_SCDPT4!SCDPT4_010ENDINGG_5</vt:lpstr>
      <vt:lpstr>GMIC_22A_SCDPT4!SCDPT4_010ENDINGG_6</vt:lpstr>
      <vt:lpstr>GMIC_22A_SCDPT4!SCDPT4_010ENDINGG_7</vt:lpstr>
      <vt:lpstr>GMIC_22A_SCDPT4!SCDPT4_010ENDINGG_8</vt:lpstr>
      <vt:lpstr>GMIC_22A_SCDPT4!SCDPT4_010ENDINGG_9</vt:lpstr>
      <vt:lpstr>GMIC_22A_SCDPT4!SCDPT4_0300000000_Range</vt:lpstr>
      <vt:lpstr>GMIC_22A_SCDPT4!SCDPT4_0300000001_1</vt:lpstr>
      <vt:lpstr>GMIC_22A_SCDPT4!SCDPT4_0300000001_10</vt:lpstr>
      <vt:lpstr>GMIC_22A_SCDPT4!SCDPT4_0300000001_11</vt:lpstr>
      <vt:lpstr>GMIC_22A_SCDPT4!SCDPT4_0300000001_12</vt:lpstr>
      <vt:lpstr>GMIC_22A_SCDPT4!SCDPT4_0300000001_13</vt:lpstr>
      <vt:lpstr>GMIC_22A_SCDPT4!SCDPT4_0300000001_14</vt:lpstr>
      <vt:lpstr>GMIC_22A_SCDPT4!SCDPT4_0300000001_15</vt:lpstr>
      <vt:lpstr>GMIC_22A_SCDPT4!SCDPT4_0300000001_16</vt:lpstr>
      <vt:lpstr>GMIC_22A_SCDPT4!SCDPT4_0300000001_17</vt:lpstr>
      <vt:lpstr>GMIC_22A_SCDPT4!SCDPT4_0300000001_18</vt:lpstr>
      <vt:lpstr>GMIC_22A_SCDPT4!SCDPT4_0300000001_19</vt:lpstr>
      <vt:lpstr>GMIC_22A_SCDPT4!SCDPT4_0300000001_2</vt:lpstr>
      <vt:lpstr>GMIC_22A_SCDPT4!SCDPT4_0300000001_20</vt:lpstr>
      <vt:lpstr>GMIC_22A_SCDPT4!SCDPT4_0300000001_21</vt:lpstr>
      <vt:lpstr>GMIC_22A_SCDPT4!SCDPT4_0300000001_23</vt:lpstr>
      <vt:lpstr>GMIC_22A_SCDPT4!SCDPT4_0300000001_24</vt:lpstr>
      <vt:lpstr>GMIC_22A_SCDPT4!SCDPT4_0300000001_25</vt:lpstr>
      <vt:lpstr>GMIC_22A_SCDPT4!SCDPT4_0300000001_26</vt:lpstr>
      <vt:lpstr>GMIC_22A_SCDPT4!SCDPT4_0300000001_27</vt:lpstr>
      <vt:lpstr>GMIC_22A_SCDPT4!SCDPT4_0300000001_3</vt:lpstr>
      <vt:lpstr>GMIC_22A_SCDPT4!SCDPT4_0300000001_4</vt:lpstr>
      <vt:lpstr>GMIC_22A_SCDPT4!SCDPT4_0300000001_5</vt:lpstr>
      <vt:lpstr>GMIC_22A_SCDPT4!SCDPT4_0300000001_7</vt:lpstr>
      <vt:lpstr>GMIC_22A_SCDPT4!SCDPT4_0300000001_8</vt:lpstr>
      <vt:lpstr>GMIC_22A_SCDPT4!SCDPT4_0300000001_9</vt:lpstr>
      <vt:lpstr>GMIC_22A_SCDPT4!SCDPT4_0309999999_10</vt:lpstr>
      <vt:lpstr>GMIC_22A_SCDPT4!SCDPT4_0309999999_11</vt:lpstr>
      <vt:lpstr>GMIC_22A_SCDPT4!SCDPT4_0309999999_12</vt:lpstr>
      <vt:lpstr>GMIC_22A_SCDPT4!SCDPT4_0309999999_13</vt:lpstr>
      <vt:lpstr>GMIC_22A_SCDPT4!SCDPT4_0309999999_14</vt:lpstr>
      <vt:lpstr>GMIC_22A_SCDPT4!SCDPT4_0309999999_15</vt:lpstr>
      <vt:lpstr>GMIC_22A_SCDPT4!SCDPT4_0309999999_16</vt:lpstr>
      <vt:lpstr>GMIC_22A_SCDPT4!SCDPT4_0309999999_17</vt:lpstr>
      <vt:lpstr>GMIC_22A_SCDPT4!SCDPT4_0309999999_18</vt:lpstr>
      <vt:lpstr>GMIC_22A_SCDPT4!SCDPT4_0309999999_19</vt:lpstr>
      <vt:lpstr>GMIC_22A_SCDPT4!SCDPT4_0309999999_20</vt:lpstr>
      <vt:lpstr>GMIC_22A_SCDPT4!SCDPT4_0309999999_7</vt:lpstr>
      <vt:lpstr>GMIC_22A_SCDPT4!SCDPT4_0309999999_8</vt:lpstr>
      <vt:lpstr>GMIC_22A_SCDPT4!SCDPT4_0309999999_9</vt:lpstr>
      <vt:lpstr>GMIC_22A_SCDPT4!SCDPT4_030BEGINNG_1</vt:lpstr>
      <vt:lpstr>GMIC_22A_SCDPT4!SCDPT4_030BEGINNG_10</vt:lpstr>
      <vt:lpstr>GMIC_22A_SCDPT4!SCDPT4_030BEGINNG_11</vt:lpstr>
      <vt:lpstr>GMIC_22A_SCDPT4!SCDPT4_030BEGINNG_12</vt:lpstr>
      <vt:lpstr>GMIC_22A_SCDPT4!SCDPT4_030BEGINNG_13</vt:lpstr>
      <vt:lpstr>GMIC_22A_SCDPT4!SCDPT4_030BEGINNG_14</vt:lpstr>
      <vt:lpstr>GMIC_22A_SCDPT4!SCDPT4_030BEGINNG_15</vt:lpstr>
      <vt:lpstr>GMIC_22A_SCDPT4!SCDPT4_030BEGINNG_16</vt:lpstr>
      <vt:lpstr>GMIC_22A_SCDPT4!SCDPT4_030BEGINNG_17</vt:lpstr>
      <vt:lpstr>GMIC_22A_SCDPT4!SCDPT4_030BEGINNG_18</vt:lpstr>
      <vt:lpstr>GMIC_22A_SCDPT4!SCDPT4_030BEGINNG_19</vt:lpstr>
      <vt:lpstr>GMIC_22A_SCDPT4!SCDPT4_030BEGINNG_2</vt:lpstr>
      <vt:lpstr>GMIC_22A_SCDPT4!SCDPT4_030BEGINNG_20</vt:lpstr>
      <vt:lpstr>GMIC_22A_SCDPT4!SCDPT4_030BEGINNG_21</vt:lpstr>
      <vt:lpstr>GMIC_22A_SCDPT4!SCDPT4_030BEGINNG_22</vt:lpstr>
      <vt:lpstr>GMIC_22A_SCDPT4!SCDPT4_030BEGINNG_23</vt:lpstr>
      <vt:lpstr>GMIC_22A_SCDPT4!SCDPT4_030BEGINNG_24</vt:lpstr>
      <vt:lpstr>GMIC_22A_SCDPT4!SCDPT4_030BEGINNG_25</vt:lpstr>
      <vt:lpstr>GMIC_22A_SCDPT4!SCDPT4_030BEGINNG_26</vt:lpstr>
      <vt:lpstr>GMIC_22A_SCDPT4!SCDPT4_030BEGINNG_27</vt:lpstr>
      <vt:lpstr>GMIC_22A_SCDPT4!SCDPT4_030BEGINNG_3</vt:lpstr>
      <vt:lpstr>GMIC_22A_SCDPT4!SCDPT4_030BEGINNG_4</vt:lpstr>
      <vt:lpstr>GMIC_22A_SCDPT4!SCDPT4_030BEGINNG_5</vt:lpstr>
      <vt:lpstr>GMIC_22A_SCDPT4!SCDPT4_030BEGINNG_6</vt:lpstr>
      <vt:lpstr>GMIC_22A_SCDPT4!SCDPT4_030BEGINNG_7</vt:lpstr>
      <vt:lpstr>GMIC_22A_SCDPT4!SCDPT4_030BEGINNG_8</vt:lpstr>
      <vt:lpstr>GMIC_22A_SCDPT4!SCDPT4_030BEGINNG_9</vt:lpstr>
      <vt:lpstr>GMIC_22A_SCDPT4!SCDPT4_030ENDINGG_10</vt:lpstr>
      <vt:lpstr>GMIC_22A_SCDPT4!SCDPT4_030ENDINGG_11</vt:lpstr>
      <vt:lpstr>GMIC_22A_SCDPT4!SCDPT4_030ENDINGG_12</vt:lpstr>
      <vt:lpstr>GMIC_22A_SCDPT4!SCDPT4_030ENDINGG_13</vt:lpstr>
      <vt:lpstr>GMIC_22A_SCDPT4!SCDPT4_030ENDINGG_14</vt:lpstr>
      <vt:lpstr>GMIC_22A_SCDPT4!SCDPT4_030ENDINGG_15</vt:lpstr>
      <vt:lpstr>GMIC_22A_SCDPT4!SCDPT4_030ENDINGG_16</vt:lpstr>
      <vt:lpstr>GMIC_22A_SCDPT4!SCDPT4_030ENDINGG_17</vt:lpstr>
      <vt:lpstr>GMIC_22A_SCDPT4!SCDPT4_030ENDINGG_18</vt:lpstr>
      <vt:lpstr>GMIC_22A_SCDPT4!SCDPT4_030ENDINGG_19</vt:lpstr>
      <vt:lpstr>GMIC_22A_SCDPT4!SCDPT4_030ENDINGG_2</vt:lpstr>
      <vt:lpstr>GMIC_22A_SCDPT4!SCDPT4_030ENDINGG_20</vt:lpstr>
      <vt:lpstr>GMIC_22A_SCDPT4!SCDPT4_030ENDINGG_21</vt:lpstr>
      <vt:lpstr>GMIC_22A_SCDPT4!SCDPT4_030ENDINGG_22</vt:lpstr>
      <vt:lpstr>GMIC_22A_SCDPT4!SCDPT4_030ENDINGG_23</vt:lpstr>
      <vt:lpstr>GMIC_22A_SCDPT4!SCDPT4_030ENDINGG_24</vt:lpstr>
      <vt:lpstr>GMIC_22A_SCDPT4!SCDPT4_030ENDINGG_25</vt:lpstr>
      <vt:lpstr>GMIC_22A_SCDPT4!SCDPT4_030ENDINGG_26</vt:lpstr>
      <vt:lpstr>GMIC_22A_SCDPT4!SCDPT4_030ENDINGG_27</vt:lpstr>
      <vt:lpstr>GMIC_22A_SCDPT4!SCDPT4_030ENDINGG_3</vt:lpstr>
      <vt:lpstr>GMIC_22A_SCDPT4!SCDPT4_030ENDINGG_4</vt:lpstr>
      <vt:lpstr>GMIC_22A_SCDPT4!SCDPT4_030ENDINGG_5</vt:lpstr>
      <vt:lpstr>GMIC_22A_SCDPT4!SCDPT4_030ENDINGG_6</vt:lpstr>
      <vt:lpstr>GMIC_22A_SCDPT4!SCDPT4_030ENDINGG_7</vt:lpstr>
      <vt:lpstr>GMIC_22A_SCDPT4!SCDPT4_030ENDINGG_8</vt:lpstr>
      <vt:lpstr>GMIC_22A_SCDPT4!SCDPT4_030ENDINGG_9</vt:lpstr>
      <vt:lpstr>GMIC_22A_SCDPT4!SCDPT4_0500000000_Range</vt:lpstr>
      <vt:lpstr>GMIC_22A_SCDPT4!SCDPT4_0500000001_1</vt:lpstr>
      <vt:lpstr>GMIC_22A_SCDPT4!SCDPT4_0500000001_10</vt:lpstr>
      <vt:lpstr>GMIC_22A_SCDPT4!SCDPT4_0500000001_11</vt:lpstr>
      <vt:lpstr>GMIC_22A_SCDPT4!SCDPT4_0500000001_12</vt:lpstr>
      <vt:lpstr>GMIC_22A_SCDPT4!SCDPT4_0500000001_13</vt:lpstr>
      <vt:lpstr>GMIC_22A_SCDPT4!SCDPT4_0500000001_14</vt:lpstr>
      <vt:lpstr>GMIC_22A_SCDPT4!SCDPT4_0500000001_15</vt:lpstr>
      <vt:lpstr>GMIC_22A_SCDPT4!SCDPT4_0500000001_16</vt:lpstr>
      <vt:lpstr>GMIC_22A_SCDPT4!SCDPT4_0500000001_17</vt:lpstr>
      <vt:lpstr>GMIC_22A_SCDPT4!SCDPT4_0500000001_18</vt:lpstr>
      <vt:lpstr>GMIC_22A_SCDPT4!SCDPT4_0500000001_19</vt:lpstr>
      <vt:lpstr>GMIC_22A_SCDPT4!SCDPT4_0500000001_2</vt:lpstr>
      <vt:lpstr>GMIC_22A_SCDPT4!SCDPT4_0500000001_20</vt:lpstr>
      <vt:lpstr>GMIC_22A_SCDPT4!SCDPT4_0500000001_21</vt:lpstr>
      <vt:lpstr>GMIC_22A_SCDPT4!SCDPT4_0500000001_22</vt:lpstr>
      <vt:lpstr>GMIC_22A_SCDPT4!SCDPT4_0500000001_23</vt:lpstr>
      <vt:lpstr>GMIC_22A_SCDPT4!SCDPT4_0500000001_24</vt:lpstr>
      <vt:lpstr>GMIC_22A_SCDPT4!SCDPT4_0500000001_25</vt:lpstr>
      <vt:lpstr>GMIC_22A_SCDPT4!SCDPT4_0500000001_26</vt:lpstr>
      <vt:lpstr>GMIC_22A_SCDPT4!SCDPT4_0500000001_27</vt:lpstr>
      <vt:lpstr>GMIC_22A_SCDPT4!SCDPT4_0500000001_3</vt:lpstr>
      <vt:lpstr>GMIC_22A_SCDPT4!SCDPT4_0500000001_4</vt:lpstr>
      <vt:lpstr>GMIC_22A_SCDPT4!SCDPT4_0500000001_5</vt:lpstr>
      <vt:lpstr>GMIC_22A_SCDPT4!SCDPT4_0500000001_7</vt:lpstr>
      <vt:lpstr>GMIC_22A_SCDPT4!SCDPT4_0500000001_8</vt:lpstr>
      <vt:lpstr>GMIC_22A_SCDPT4!SCDPT4_0500000001_9</vt:lpstr>
      <vt:lpstr>GMIC_22A_SCDPT4!SCDPT4_0509999999_10</vt:lpstr>
      <vt:lpstr>GMIC_22A_SCDPT4!SCDPT4_0509999999_11</vt:lpstr>
      <vt:lpstr>GMIC_22A_SCDPT4!SCDPT4_0509999999_12</vt:lpstr>
      <vt:lpstr>GMIC_22A_SCDPT4!SCDPT4_0509999999_13</vt:lpstr>
      <vt:lpstr>GMIC_22A_SCDPT4!SCDPT4_0509999999_14</vt:lpstr>
      <vt:lpstr>GMIC_22A_SCDPT4!SCDPT4_0509999999_15</vt:lpstr>
      <vt:lpstr>GMIC_22A_SCDPT4!SCDPT4_0509999999_16</vt:lpstr>
      <vt:lpstr>GMIC_22A_SCDPT4!SCDPT4_0509999999_17</vt:lpstr>
      <vt:lpstr>GMIC_22A_SCDPT4!SCDPT4_0509999999_18</vt:lpstr>
      <vt:lpstr>GMIC_22A_SCDPT4!SCDPT4_0509999999_19</vt:lpstr>
      <vt:lpstr>GMIC_22A_SCDPT4!SCDPT4_0509999999_20</vt:lpstr>
      <vt:lpstr>GMIC_22A_SCDPT4!SCDPT4_0509999999_7</vt:lpstr>
      <vt:lpstr>GMIC_22A_SCDPT4!SCDPT4_0509999999_8</vt:lpstr>
      <vt:lpstr>GMIC_22A_SCDPT4!SCDPT4_0509999999_9</vt:lpstr>
      <vt:lpstr>GMIC_22A_SCDPT4!SCDPT4_050BEGINNG_1</vt:lpstr>
      <vt:lpstr>GMIC_22A_SCDPT4!SCDPT4_050BEGINNG_10</vt:lpstr>
      <vt:lpstr>GMIC_22A_SCDPT4!SCDPT4_050BEGINNG_11</vt:lpstr>
      <vt:lpstr>GMIC_22A_SCDPT4!SCDPT4_050BEGINNG_12</vt:lpstr>
      <vt:lpstr>GMIC_22A_SCDPT4!SCDPT4_050BEGINNG_13</vt:lpstr>
      <vt:lpstr>GMIC_22A_SCDPT4!SCDPT4_050BEGINNG_14</vt:lpstr>
      <vt:lpstr>GMIC_22A_SCDPT4!SCDPT4_050BEGINNG_15</vt:lpstr>
      <vt:lpstr>GMIC_22A_SCDPT4!SCDPT4_050BEGINNG_16</vt:lpstr>
      <vt:lpstr>GMIC_22A_SCDPT4!SCDPT4_050BEGINNG_17</vt:lpstr>
      <vt:lpstr>GMIC_22A_SCDPT4!SCDPT4_050BEGINNG_18</vt:lpstr>
      <vt:lpstr>GMIC_22A_SCDPT4!SCDPT4_050BEGINNG_19</vt:lpstr>
      <vt:lpstr>GMIC_22A_SCDPT4!SCDPT4_050BEGINNG_2</vt:lpstr>
      <vt:lpstr>GMIC_22A_SCDPT4!SCDPT4_050BEGINNG_20</vt:lpstr>
      <vt:lpstr>GMIC_22A_SCDPT4!SCDPT4_050BEGINNG_21</vt:lpstr>
      <vt:lpstr>GMIC_22A_SCDPT4!SCDPT4_050BEGINNG_22</vt:lpstr>
      <vt:lpstr>GMIC_22A_SCDPT4!SCDPT4_050BEGINNG_23</vt:lpstr>
      <vt:lpstr>GMIC_22A_SCDPT4!SCDPT4_050BEGINNG_24</vt:lpstr>
      <vt:lpstr>GMIC_22A_SCDPT4!SCDPT4_050BEGINNG_25</vt:lpstr>
      <vt:lpstr>GMIC_22A_SCDPT4!SCDPT4_050BEGINNG_26</vt:lpstr>
      <vt:lpstr>GMIC_22A_SCDPT4!SCDPT4_050BEGINNG_27</vt:lpstr>
      <vt:lpstr>GMIC_22A_SCDPT4!SCDPT4_050BEGINNG_3</vt:lpstr>
      <vt:lpstr>GMIC_22A_SCDPT4!SCDPT4_050BEGINNG_4</vt:lpstr>
      <vt:lpstr>GMIC_22A_SCDPT4!SCDPT4_050BEGINNG_5</vt:lpstr>
      <vt:lpstr>GMIC_22A_SCDPT4!SCDPT4_050BEGINNG_6</vt:lpstr>
      <vt:lpstr>GMIC_22A_SCDPT4!SCDPT4_050BEGINNG_7</vt:lpstr>
      <vt:lpstr>GMIC_22A_SCDPT4!SCDPT4_050BEGINNG_8</vt:lpstr>
      <vt:lpstr>GMIC_22A_SCDPT4!SCDPT4_050BEGINNG_9</vt:lpstr>
      <vt:lpstr>GMIC_22A_SCDPT4!SCDPT4_050ENDINGG_10</vt:lpstr>
      <vt:lpstr>GMIC_22A_SCDPT4!SCDPT4_050ENDINGG_11</vt:lpstr>
      <vt:lpstr>GMIC_22A_SCDPT4!SCDPT4_050ENDINGG_12</vt:lpstr>
      <vt:lpstr>GMIC_22A_SCDPT4!SCDPT4_050ENDINGG_13</vt:lpstr>
      <vt:lpstr>GMIC_22A_SCDPT4!SCDPT4_050ENDINGG_14</vt:lpstr>
      <vt:lpstr>GMIC_22A_SCDPT4!SCDPT4_050ENDINGG_15</vt:lpstr>
      <vt:lpstr>GMIC_22A_SCDPT4!SCDPT4_050ENDINGG_16</vt:lpstr>
      <vt:lpstr>GMIC_22A_SCDPT4!SCDPT4_050ENDINGG_17</vt:lpstr>
      <vt:lpstr>GMIC_22A_SCDPT4!SCDPT4_050ENDINGG_18</vt:lpstr>
      <vt:lpstr>GMIC_22A_SCDPT4!SCDPT4_050ENDINGG_19</vt:lpstr>
      <vt:lpstr>GMIC_22A_SCDPT4!SCDPT4_050ENDINGG_2</vt:lpstr>
      <vt:lpstr>GMIC_22A_SCDPT4!SCDPT4_050ENDINGG_20</vt:lpstr>
      <vt:lpstr>GMIC_22A_SCDPT4!SCDPT4_050ENDINGG_21</vt:lpstr>
      <vt:lpstr>GMIC_22A_SCDPT4!SCDPT4_050ENDINGG_22</vt:lpstr>
      <vt:lpstr>GMIC_22A_SCDPT4!SCDPT4_050ENDINGG_23</vt:lpstr>
      <vt:lpstr>GMIC_22A_SCDPT4!SCDPT4_050ENDINGG_24</vt:lpstr>
      <vt:lpstr>GMIC_22A_SCDPT4!SCDPT4_050ENDINGG_25</vt:lpstr>
      <vt:lpstr>GMIC_22A_SCDPT4!SCDPT4_050ENDINGG_26</vt:lpstr>
      <vt:lpstr>GMIC_22A_SCDPT4!SCDPT4_050ENDINGG_27</vt:lpstr>
      <vt:lpstr>GMIC_22A_SCDPT4!SCDPT4_050ENDINGG_3</vt:lpstr>
      <vt:lpstr>GMIC_22A_SCDPT4!SCDPT4_050ENDINGG_4</vt:lpstr>
      <vt:lpstr>GMIC_22A_SCDPT4!SCDPT4_050ENDINGG_5</vt:lpstr>
      <vt:lpstr>GMIC_22A_SCDPT4!SCDPT4_050ENDINGG_6</vt:lpstr>
      <vt:lpstr>GMIC_22A_SCDPT4!SCDPT4_050ENDINGG_7</vt:lpstr>
      <vt:lpstr>GMIC_22A_SCDPT4!SCDPT4_050ENDINGG_8</vt:lpstr>
      <vt:lpstr>GMIC_22A_SCDPT4!SCDPT4_050ENDINGG_9</vt:lpstr>
      <vt:lpstr>GMIC_22A_SCDPT4!SCDPT4_0700000000_Range</vt:lpstr>
      <vt:lpstr>GMIC_22A_SCDPT4!SCDPT4_0700000001_1</vt:lpstr>
      <vt:lpstr>GMIC_22A_SCDPT4!SCDPT4_0700000001_10</vt:lpstr>
      <vt:lpstr>GMIC_22A_SCDPT4!SCDPT4_0700000001_11</vt:lpstr>
      <vt:lpstr>GMIC_22A_SCDPT4!SCDPT4_0700000001_12</vt:lpstr>
      <vt:lpstr>GMIC_22A_SCDPT4!SCDPT4_0700000001_13</vt:lpstr>
      <vt:lpstr>GMIC_22A_SCDPT4!SCDPT4_0700000001_14</vt:lpstr>
      <vt:lpstr>GMIC_22A_SCDPT4!SCDPT4_0700000001_15</vt:lpstr>
      <vt:lpstr>GMIC_22A_SCDPT4!SCDPT4_0700000001_16</vt:lpstr>
      <vt:lpstr>GMIC_22A_SCDPT4!SCDPT4_0700000001_17</vt:lpstr>
      <vt:lpstr>GMIC_22A_SCDPT4!SCDPT4_0700000001_18</vt:lpstr>
      <vt:lpstr>GMIC_22A_SCDPT4!SCDPT4_0700000001_19</vt:lpstr>
      <vt:lpstr>GMIC_22A_SCDPT4!SCDPT4_0700000001_2</vt:lpstr>
      <vt:lpstr>GMIC_22A_SCDPT4!SCDPT4_0700000001_20</vt:lpstr>
      <vt:lpstr>GMIC_22A_SCDPT4!SCDPT4_0700000001_21</vt:lpstr>
      <vt:lpstr>GMIC_22A_SCDPT4!SCDPT4_0700000001_22</vt:lpstr>
      <vt:lpstr>GMIC_22A_SCDPT4!SCDPT4_0700000001_23</vt:lpstr>
      <vt:lpstr>GMIC_22A_SCDPT4!SCDPT4_0700000001_24</vt:lpstr>
      <vt:lpstr>GMIC_22A_SCDPT4!SCDPT4_0700000001_25</vt:lpstr>
      <vt:lpstr>GMIC_22A_SCDPT4!SCDPT4_0700000001_26</vt:lpstr>
      <vt:lpstr>GMIC_22A_SCDPT4!SCDPT4_0700000001_27</vt:lpstr>
      <vt:lpstr>GMIC_22A_SCDPT4!SCDPT4_0700000001_3</vt:lpstr>
      <vt:lpstr>GMIC_22A_SCDPT4!SCDPT4_0700000001_4</vt:lpstr>
      <vt:lpstr>GMIC_22A_SCDPT4!SCDPT4_0700000001_5</vt:lpstr>
      <vt:lpstr>GMIC_22A_SCDPT4!SCDPT4_0700000001_7</vt:lpstr>
      <vt:lpstr>GMIC_22A_SCDPT4!SCDPT4_0700000001_8</vt:lpstr>
      <vt:lpstr>GMIC_22A_SCDPT4!SCDPT4_0700000001_9</vt:lpstr>
      <vt:lpstr>GMIC_22A_SCDPT4!SCDPT4_0709999999_10</vt:lpstr>
      <vt:lpstr>GMIC_22A_SCDPT4!SCDPT4_0709999999_11</vt:lpstr>
      <vt:lpstr>GMIC_22A_SCDPT4!SCDPT4_0709999999_12</vt:lpstr>
      <vt:lpstr>GMIC_22A_SCDPT4!SCDPT4_0709999999_13</vt:lpstr>
      <vt:lpstr>GMIC_22A_SCDPT4!SCDPT4_0709999999_14</vt:lpstr>
      <vt:lpstr>GMIC_22A_SCDPT4!SCDPT4_0709999999_15</vt:lpstr>
      <vt:lpstr>GMIC_22A_SCDPT4!SCDPT4_0709999999_16</vt:lpstr>
      <vt:lpstr>GMIC_22A_SCDPT4!SCDPT4_0709999999_17</vt:lpstr>
      <vt:lpstr>GMIC_22A_SCDPT4!SCDPT4_0709999999_18</vt:lpstr>
      <vt:lpstr>GMIC_22A_SCDPT4!SCDPT4_0709999999_19</vt:lpstr>
      <vt:lpstr>GMIC_22A_SCDPT4!SCDPT4_0709999999_20</vt:lpstr>
      <vt:lpstr>GMIC_22A_SCDPT4!SCDPT4_0709999999_7</vt:lpstr>
      <vt:lpstr>GMIC_22A_SCDPT4!SCDPT4_0709999999_8</vt:lpstr>
      <vt:lpstr>GMIC_22A_SCDPT4!SCDPT4_0709999999_9</vt:lpstr>
      <vt:lpstr>GMIC_22A_SCDPT4!SCDPT4_070BEGINNG_1</vt:lpstr>
      <vt:lpstr>GMIC_22A_SCDPT4!SCDPT4_070BEGINNG_10</vt:lpstr>
      <vt:lpstr>GMIC_22A_SCDPT4!SCDPT4_070BEGINNG_11</vt:lpstr>
      <vt:lpstr>GMIC_22A_SCDPT4!SCDPT4_070BEGINNG_12</vt:lpstr>
      <vt:lpstr>GMIC_22A_SCDPT4!SCDPT4_070BEGINNG_13</vt:lpstr>
      <vt:lpstr>GMIC_22A_SCDPT4!SCDPT4_070BEGINNG_14</vt:lpstr>
      <vt:lpstr>GMIC_22A_SCDPT4!SCDPT4_070BEGINNG_15</vt:lpstr>
      <vt:lpstr>GMIC_22A_SCDPT4!SCDPT4_070BEGINNG_16</vt:lpstr>
      <vt:lpstr>GMIC_22A_SCDPT4!SCDPT4_070BEGINNG_17</vt:lpstr>
      <vt:lpstr>GMIC_22A_SCDPT4!SCDPT4_070BEGINNG_18</vt:lpstr>
      <vt:lpstr>GMIC_22A_SCDPT4!SCDPT4_070BEGINNG_19</vt:lpstr>
      <vt:lpstr>GMIC_22A_SCDPT4!SCDPT4_070BEGINNG_2</vt:lpstr>
      <vt:lpstr>GMIC_22A_SCDPT4!SCDPT4_070BEGINNG_20</vt:lpstr>
      <vt:lpstr>GMIC_22A_SCDPT4!SCDPT4_070BEGINNG_21</vt:lpstr>
      <vt:lpstr>GMIC_22A_SCDPT4!SCDPT4_070BEGINNG_22</vt:lpstr>
      <vt:lpstr>GMIC_22A_SCDPT4!SCDPT4_070BEGINNG_23</vt:lpstr>
      <vt:lpstr>GMIC_22A_SCDPT4!SCDPT4_070BEGINNG_24</vt:lpstr>
      <vt:lpstr>GMIC_22A_SCDPT4!SCDPT4_070BEGINNG_25</vt:lpstr>
      <vt:lpstr>GMIC_22A_SCDPT4!SCDPT4_070BEGINNG_26</vt:lpstr>
      <vt:lpstr>GMIC_22A_SCDPT4!SCDPT4_070BEGINNG_27</vt:lpstr>
      <vt:lpstr>GMIC_22A_SCDPT4!SCDPT4_070BEGINNG_3</vt:lpstr>
      <vt:lpstr>GMIC_22A_SCDPT4!SCDPT4_070BEGINNG_4</vt:lpstr>
      <vt:lpstr>GMIC_22A_SCDPT4!SCDPT4_070BEGINNG_5</vt:lpstr>
      <vt:lpstr>GMIC_22A_SCDPT4!SCDPT4_070BEGINNG_6</vt:lpstr>
      <vt:lpstr>GMIC_22A_SCDPT4!SCDPT4_070BEGINNG_7</vt:lpstr>
      <vt:lpstr>GMIC_22A_SCDPT4!SCDPT4_070BEGINNG_8</vt:lpstr>
      <vt:lpstr>GMIC_22A_SCDPT4!SCDPT4_070BEGINNG_9</vt:lpstr>
      <vt:lpstr>GMIC_22A_SCDPT4!SCDPT4_070ENDINGG_10</vt:lpstr>
      <vt:lpstr>GMIC_22A_SCDPT4!SCDPT4_070ENDINGG_11</vt:lpstr>
      <vt:lpstr>GMIC_22A_SCDPT4!SCDPT4_070ENDINGG_12</vt:lpstr>
      <vt:lpstr>GMIC_22A_SCDPT4!SCDPT4_070ENDINGG_13</vt:lpstr>
      <vt:lpstr>GMIC_22A_SCDPT4!SCDPT4_070ENDINGG_14</vt:lpstr>
      <vt:lpstr>GMIC_22A_SCDPT4!SCDPT4_070ENDINGG_15</vt:lpstr>
      <vt:lpstr>GMIC_22A_SCDPT4!SCDPT4_070ENDINGG_16</vt:lpstr>
      <vt:lpstr>GMIC_22A_SCDPT4!SCDPT4_070ENDINGG_17</vt:lpstr>
      <vt:lpstr>GMIC_22A_SCDPT4!SCDPT4_070ENDINGG_18</vt:lpstr>
      <vt:lpstr>GMIC_22A_SCDPT4!SCDPT4_070ENDINGG_19</vt:lpstr>
      <vt:lpstr>GMIC_22A_SCDPT4!SCDPT4_070ENDINGG_2</vt:lpstr>
      <vt:lpstr>GMIC_22A_SCDPT4!SCDPT4_070ENDINGG_20</vt:lpstr>
      <vt:lpstr>GMIC_22A_SCDPT4!SCDPT4_070ENDINGG_21</vt:lpstr>
      <vt:lpstr>GMIC_22A_SCDPT4!SCDPT4_070ENDINGG_22</vt:lpstr>
      <vt:lpstr>GMIC_22A_SCDPT4!SCDPT4_070ENDINGG_23</vt:lpstr>
      <vt:lpstr>GMIC_22A_SCDPT4!SCDPT4_070ENDINGG_24</vt:lpstr>
      <vt:lpstr>GMIC_22A_SCDPT4!SCDPT4_070ENDINGG_25</vt:lpstr>
      <vt:lpstr>GMIC_22A_SCDPT4!SCDPT4_070ENDINGG_26</vt:lpstr>
      <vt:lpstr>GMIC_22A_SCDPT4!SCDPT4_070ENDINGG_27</vt:lpstr>
      <vt:lpstr>GMIC_22A_SCDPT4!SCDPT4_070ENDINGG_3</vt:lpstr>
      <vt:lpstr>GMIC_22A_SCDPT4!SCDPT4_070ENDINGG_4</vt:lpstr>
      <vt:lpstr>GMIC_22A_SCDPT4!SCDPT4_070ENDINGG_5</vt:lpstr>
      <vt:lpstr>GMIC_22A_SCDPT4!SCDPT4_070ENDINGG_6</vt:lpstr>
      <vt:lpstr>GMIC_22A_SCDPT4!SCDPT4_070ENDINGG_7</vt:lpstr>
      <vt:lpstr>GMIC_22A_SCDPT4!SCDPT4_070ENDINGG_8</vt:lpstr>
      <vt:lpstr>GMIC_22A_SCDPT4!SCDPT4_070ENDINGG_9</vt:lpstr>
      <vt:lpstr>GMIC_22A_SCDPT4!SCDPT4_0900000000_Range</vt:lpstr>
      <vt:lpstr>GMIC_22A_SCDPT4!SCDPT4_0900000001_1</vt:lpstr>
      <vt:lpstr>GMIC_22A_SCDPT4!SCDPT4_0900000001_10</vt:lpstr>
      <vt:lpstr>GMIC_22A_SCDPT4!SCDPT4_0900000001_11</vt:lpstr>
      <vt:lpstr>GMIC_22A_SCDPT4!SCDPT4_0900000001_12</vt:lpstr>
      <vt:lpstr>GMIC_22A_SCDPT4!SCDPT4_0900000001_13</vt:lpstr>
      <vt:lpstr>GMIC_22A_SCDPT4!SCDPT4_0900000001_14</vt:lpstr>
      <vt:lpstr>GMIC_22A_SCDPT4!SCDPT4_0900000001_15</vt:lpstr>
      <vt:lpstr>GMIC_22A_SCDPT4!SCDPT4_0900000001_16</vt:lpstr>
      <vt:lpstr>GMIC_22A_SCDPT4!SCDPT4_0900000001_17</vt:lpstr>
      <vt:lpstr>GMIC_22A_SCDPT4!SCDPT4_0900000001_18</vt:lpstr>
      <vt:lpstr>GMIC_22A_SCDPT4!SCDPT4_0900000001_19</vt:lpstr>
      <vt:lpstr>GMIC_22A_SCDPT4!SCDPT4_0900000001_2</vt:lpstr>
      <vt:lpstr>GMIC_22A_SCDPT4!SCDPT4_0900000001_20</vt:lpstr>
      <vt:lpstr>GMIC_22A_SCDPT4!SCDPT4_0900000001_21</vt:lpstr>
      <vt:lpstr>GMIC_22A_SCDPT4!SCDPT4_0900000001_22</vt:lpstr>
      <vt:lpstr>GMIC_22A_SCDPT4!SCDPT4_0900000001_23</vt:lpstr>
      <vt:lpstr>GMIC_22A_SCDPT4!SCDPT4_0900000001_24</vt:lpstr>
      <vt:lpstr>GMIC_22A_SCDPT4!SCDPT4_0900000001_25</vt:lpstr>
      <vt:lpstr>GMIC_22A_SCDPT4!SCDPT4_0900000001_26</vt:lpstr>
      <vt:lpstr>GMIC_22A_SCDPT4!SCDPT4_0900000001_27</vt:lpstr>
      <vt:lpstr>GMIC_22A_SCDPT4!SCDPT4_0900000001_3</vt:lpstr>
      <vt:lpstr>GMIC_22A_SCDPT4!SCDPT4_0900000001_4</vt:lpstr>
      <vt:lpstr>GMIC_22A_SCDPT4!SCDPT4_0900000001_5</vt:lpstr>
      <vt:lpstr>GMIC_22A_SCDPT4!SCDPT4_0900000001_7</vt:lpstr>
      <vt:lpstr>GMIC_22A_SCDPT4!SCDPT4_0900000001_8</vt:lpstr>
      <vt:lpstr>GMIC_22A_SCDPT4!SCDPT4_0900000001_9</vt:lpstr>
      <vt:lpstr>GMIC_22A_SCDPT4!SCDPT4_0909999999_10</vt:lpstr>
      <vt:lpstr>GMIC_22A_SCDPT4!SCDPT4_0909999999_11</vt:lpstr>
      <vt:lpstr>GMIC_22A_SCDPT4!SCDPT4_0909999999_12</vt:lpstr>
      <vt:lpstr>GMIC_22A_SCDPT4!SCDPT4_0909999999_13</vt:lpstr>
      <vt:lpstr>GMIC_22A_SCDPT4!SCDPT4_0909999999_14</vt:lpstr>
      <vt:lpstr>GMIC_22A_SCDPT4!SCDPT4_0909999999_15</vt:lpstr>
      <vt:lpstr>GMIC_22A_SCDPT4!SCDPT4_0909999999_16</vt:lpstr>
      <vt:lpstr>GMIC_22A_SCDPT4!SCDPT4_0909999999_17</vt:lpstr>
      <vt:lpstr>GMIC_22A_SCDPT4!SCDPT4_0909999999_18</vt:lpstr>
      <vt:lpstr>GMIC_22A_SCDPT4!SCDPT4_0909999999_19</vt:lpstr>
      <vt:lpstr>GMIC_22A_SCDPT4!SCDPT4_0909999999_20</vt:lpstr>
      <vt:lpstr>GMIC_22A_SCDPT4!SCDPT4_0909999999_7</vt:lpstr>
      <vt:lpstr>GMIC_22A_SCDPT4!SCDPT4_0909999999_8</vt:lpstr>
      <vt:lpstr>GMIC_22A_SCDPT4!SCDPT4_0909999999_9</vt:lpstr>
      <vt:lpstr>GMIC_22A_SCDPT4!SCDPT4_090BEGINNG_1</vt:lpstr>
      <vt:lpstr>GMIC_22A_SCDPT4!SCDPT4_090BEGINNG_10</vt:lpstr>
      <vt:lpstr>GMIC_22A_SCDPT4!SCDPT4_090BEGINNG_11</vt:lpstr>
      <vt:lpstr>GMIC_22A_SCDPT4!SCDPT4_090BEGINNG_12</vt:lpstr>
      <vt:lpstr>GMIC_22A_SCDPT4!SCDPT4_090BEGINNG_13</vt:lpstr>
      <vt:lpstr>GMIC_22A_SCDPT4!SCDPT4_090BEGINNG_14</vt:lpstr>
      <vt:lpstr>GMIC_22A_SCDPT4!SCDPT4_090BEGINNG_15</vt:lpstr>
      <vt:lpstr>GMIC_22A_SCDPT4!SCDPT4_090BEGINNG_16</vt:lpstr>
      <vt:lpstr>GMIC_22A_SCDPT4!SCDPT4_090BEGINNG_17</vt:lpstr>
      <vt:lpstr>GMIC_22A_SCDPT4!SCDPT4_090BEGINNG_18</vt:lpstr>
      <vt:lpstr>GMIC_22A_SCDPT4!SCDPT4_090BEGINNG_19</vt:lpstr>
      <vt:lpstr>GMIC_22A_SCDPT4!SCDPT4_090BEGINNG_2</vt:lpstr>
      <vt:lpstr>GMIC_22A_SCDPT4!SCDPT4_090BEGINNG_20</vt:lpstr>
      <vt:lpstr>GMIC_22A_SCDPT4!SCDPT4_090BEGINNG_21</vt:lpstr>
      <vt:lpstr>GMIC_22A_SCDPT4!SCDPT4_090BEGINNG_22</vt:lpstr>
      <vt:lpstr>GMIC_22A_SCDPT4!SCDPT4_090BEGINNG_23</vt:lpstr>
      <vt:lpstr>GMIC_22A_SCDPT4!SCDPT4_090BEGINNG_24</vt:lpstr>
      <vt:lpstr>GMIC_22A_SCDPT4!SCDPT4_090BEGINNG_25</vt:lpstr>
      <vt:lpstr>GMIC_22A_SCDPT4!SCDPT4_090BEGINNG_26</vt:lpstr>
      <vt:lpstr>GMIC_22A_SCDPT4!SCDPT4_090BEGINNG_27</vt:lpstr>
      <vt:lpstr>GMIC_22A_SCDPT4!SCDPT4_090BEGINNG_3</vt:lpstr>
      <vt:lpstr>GMIC_22A_SCDPT4!SCDPT4_090BEGINNG_4</vt:lpstr>
      <vt:lpstr>GMIC_22A_SCDPT4!SCDPT4_090BEGINNG_5</vt:lpstr>
      <vt:lpstr>GMIC_22A_SCDPT4!SCDPT4_090BEGINNG_6</vt:lpstr>
      <vt:lpstr>GMIC_22A_SCDPT4!SCDPT4_090BEGINNG_7</vt:lpstr>
      <vt:lpstr>GMIC_22A_SCDPT4!SCDPT4_090BEGINNG_8</vt:lpstr>
      <vt:lpstr>GMIC_22A_SCDPT4!SCDPT4_090BEGINNG_9</vt:lpstr>
      <vt:lpstr>GMIC_22A_SCDPT4!SCDPT4_090ENDINGG_10</vt:lpstr>
      <vt:lpstr>GMIC_22A_SCDPT4!SCDPT4_090ENDINGG_11</vt:lpstr>
      <vt:lpstr>GMIC_22A_SCDPT4!SCDPT4_090ENDINGG_12</vt:lpstr>
      <vt:lpstr>GMIC_22A_SCDPT4!SCDPT4_090ENDINGG_13</vt:lpstr>
      <vt:lpstr>GMIC_22A_SCDPT4!SCDPT4_090ENDINGG_14</vt:lpstr>
      <vt:lpstr>GMIC_22A_SCDPT4!SCDPT4_090ENDINGG_15</vt:lpstr>
      <vt:lpstr>GMIC_22A_SCDPT4!SCDPT4_090ENDINGG_16</vt:lpstr>
      <vt:lpstr>GMIC_22A_SCDPT4!SCDPT4_090ENDINGG_17</vt:lpstr>
      <vt:lpstr>GMIC_22A_SCDPT4!SCDPT4_090ENDINGG_18</vt:lpstr>
      <vt:lpstr>GMIC_22A_SCDPT4!SCDPT4_090ENDINGG_19</vt:lpstr>
      <vt:lpstr>GMIC_22A_SCDPT4!SCDPT4_090ENDINGG_2</vt:lpstr>
      <vt:lpstr>GMIC_22A_SCDPT4!SCDPT4_090ENDINGG_20</vt:lpstr>
      <vt:lpstr>GMIC_22A_SCDPT4!SCDPT4_090ENDINGG_21</vt:lpstr>
      <vt:lpstr>GMIC_22A_SCDPT4!SCDPT4_090ENDINGG_22</vt:lpstr>
      <vt:lpstr>GMIC_22A_SCDPT4!SCDPT4_090ENDINGG_23</vt:lpstr>
      <vt:lpstr>GMIC_22A_SCDPT4!SCDPT4_090ENDINGG_24</vt:lpstr>
      <vt:lpstr>GMIC_22A_SCDPT4!SCDPT4_090ENDINGG_25</vt:lpstr>
      <vt:lpstr>GMIC_22A_SCDPT4!SCDPT4_090ENDINGG_26</vt:lpstr>
      <vt:lpstr>GMIC_22A_SCDPT4!SCDPT4_090ENDINGG_27</vt:lpstr>
      <vt:lpstr>GMIC_22A_SCDPT4!SCDPT4_090ENDINGG_3</vt:lpstr>
      <vt:lpstr>GMIC_22A_SCDPT4!SCDPT4_090ENDINGG_4</vt:lpstr>
      <vt:lpstr>GMIC_22A_SCDPT4!SCDPT4_090ENDINGG_5</vt:lpstr>
      <vt:lpstr>GMIC_22A_SCDPT4!SCDPT4_090ENDINGG_6</vt:lpstr>
      <vt:lpstr>GMIC_22A_SCDPT4!SCDPT4_090ENDINGG_7</vt:lpstr>
      <vt:lpstr>GMIC_22A_SCDPT4!SCDPT4_090ENDINGG_8</vt:lpstr>
      <vt:lpstr>GMIC_22A_SCDPT4!SCDPT4_090ENDINGG_9</vt:lpstr>
      <vt:lpstr>GMIC_22A_SCDPT4!SCDPT4_1100000000_Range</vt:lpstr>
      <vt:lpstr>GMIC_22A_SCDPT4!SCDPT4_1100000001_1</vt:lpstr>
      <vt:lpstr>GMIC_22A_SCDPT4!SCDPT4_1100000001_10</vt:lpstr>
      <vt:lpstr>GMIC_22A_SCDPT4!SCDPT4_1100000001_11</vt:lpstr>
      <vt:lpstr>GMIC_22A_SCDPT4!SCDPT4_1100000001_12</vt:lpstr>
      <vt:lpstr>GMIC_22A_SCDPT4!SCDPT4_1100000001_13</vt:lpstr>
      <vt:lpstr>GMIC_22A_SCDPT4!SCDPT4_1100000001_14</vt:lpstr>
      <vt:lpstr>GMIC_22A_SCDPT4!SCDPT4_1100000001_15</vt:lpstr>
      <vt:lpstr>GMIC_22A_SCDPT4!SCDPT4_1100000001_16</vt:lpstr>
      <vt:lpstr>GMIC_22A_SCDPT4!SCDPT4_1100000001_17</vt:lpstr>
      <vt:lpstr>GMIC_22A_SCDPT4!SCDPT4_1100000001_18</vt:lpstr>
      <vt:lpstr>GMIC_22A_SCDPT4!SCDPT4_1100000001_19</vt:lpstr>
      <vt:lpstr>GMIC_22A_SCDPT4!SCDPT4_1100000001_2</vt:lpstr>
      <vt:lpstr>GMIC_22A_SCDPT4!SCDPT4_1100000001_20</vt:lpstr>
      <vt:lpstr>GMIC_22A_SCDPT4!SCDPT4_1100000001_21</vt:lpstr>
      <vt:lpstr>GMIC_22A_SCDPT4!SCDPT4_1100000001_23</vt:lpstr>
      <vt:lpstr>GMIC_22A_SCDPT4!SCDPT4_1100000001_24</vt:lpstr>
      <vt:lpstr>GMIC_22A_SCDPT4!SCDPT4_1100000001_25</vt:lpstr>
      <vt:lpstr>GMIC_22A_SCDPT4!SCDPT4_1100000001_26</vt:lpstr>
      <vt:lpstr>GMIC_22A_SCDPT4!SCDPT4_1100000001_27</vt:lpstr>
      <vt:lpstr>GMIC_22A_SCDPT4!SCDPT4_1100000001_3</vt:lpstr>
      <vt:lpstr>GMIC_22A_SCDPT4!SCDPT4_1100000001_4</vt:lpstr>
      <vt:lpstr>GMIC_22A_SCDPT4!SCDPT4_1100000001_5</vt:lpstr>
      <vt:lpstr>GMIC_22A_SCDPT4!SCDPT4_1100000001_7</vt:lpstr>
      <vt:lpstr>GMIC_22A_SCDPT4!SCDPT4_1100000001_8</vt:lpstr>
      <vt:lpstr>GMIC_22A_SCDPT4!SCDPT4_1100000001_9</vt:lpstr>
      <vt:lpstr>GMIC_22A_SCDPT4!SCDPT4_1109999999_10</vt:lpstr>
      <vt:lpstr>GMIC_22A_SCDPT4!SCDPT4_1109999999_11</vt:lpstr>
      <vt:lpstr>GMIC_22A_SCDPT4!SCDPT4_1109999999_12</vt:lpstr>
      <vt:lpstr>GMIC_22A_SCDPT4!SCDPT4_1109999999_13</vt:lpstr>
      <vt:lpstr>GMIC_22A_SCDPT4!SCDPT4_1109999999_14</vt:lpstr>
      <vt:lpstr>GMIC_22A_SCDPT4!SCDPT4_1109999999_15</vt:lpstr>
      <vt:lpstr>GMIC_22A_SCDPT4!SCDPT4_1109999999_16</vt:lpstr>
      <vt:lpstr>GMIC_22A_SCDPT4!SCDPT4_1109999999_17</vt:lpstr>
      <vt:lpstr>GMIC_22A_SCDPT4!SCDPT4_1109999999_18</vt:lpstr>
      <vt:lpstr>GMIC_22A_SCDPT4!SCDPT4_1109999999_19</vt:lpstr>
      <vt:lpstr>GMIC_22A_SCDPT4!SCDPT4_1109999999_20</vt:lpstr>
      <vt:lpstr>GMIC_22A_SCDPT4!SCDPT4_1109999999_7</vt:lpstr>
      <vt:lpstr>GMIC_22A_SCDPT4!SCDPT4_1109999999_8</vt:lpstr>
      <vt:lpstr>GMIC_22A_SCDPT4!SCDPT4_1109999999_9</vt:lpstr>
      <vt:lpstr>GMIC_22A_SCDPT4!SCDPT4_110BEGINNG_1</vt:lpstr>
      <vt:lpstr>GMIC_22A_SCDPT4!SCDPT4_110BEGINNG_10</vt:lpstr>
      <vt:lpstr>GMIC_22A_SCDPT4!SCDPT4_110BEGINNG_11</vt:lpstr>
      <vt:lpstr>GMIC_22A_SCDPT4!SCDPT4_110BEGINNG_12</vt:lpstr>
      <vt:lpstr>GMIC_22A_SCDPT4!SCDPT4_110BEGINNG_13</vt:lpstr>
      <vt:lpstr>GMIC_22A_SCDPT4!SCDPT4_110BEGINNG_14</vt:lpstr>
      <vt:lpstr>GMIC_22A_SCDPT4!SCDPT4_110BEGINNG_15</vt:lpstr>
      <vt:lpstr>GMIC_22A_SCDPT4!SCDPT4_110BEGINNG_16</vt:lpstr>
      <vt:lpstr>GMIC_22A_SCDPT4!SCDPT4_110BEGINNG_17</vt:lpstr>
      <vt:lpstr>GMIC_22A_SCDPT4!SCDPT4_110BEGINNG_18</vt:lpstr>
      <vt:lpstr>GMIC_22A_SCDPT4!SCDPT4_110BEGINNG_19</vt:lpstr>
      <vt:lpstr>GMIC_22A_SCDPT4!SCDPT4_110BEGINNG_2</vt:lpstr>
      <vt:lpstr>GMIC_22A_SCDPT4!SCDPT4_110BEGINNG_20</vt:lpstr>
      <vt:lpstr>GMIC_22A_SCDPT4!SCDPT4_110BEGINNG_21</vt:lpstr>
      <vt:lpstr>GMIC_22A_SCDPT4!SCDPT4_110BEGINNG_22</vt:lpstr>
      <vt:lpstr>GMIC_22A_SCDPT4!SCDPT4_110BEGINNG_23</vt:lpstr>
      <vt:lpstr>GMIC_22A_SCDPT4!SCDPT4_110BEGINNG_24</vt:lpstr>
      <vt:lpstr>GMIC_22A_SCDPT4!SCDPT4_110BEGINNG_25</vt:lpstr>
      <vt:lpstr>GMIC_22A_SCDPT4!SCDPT4_110BEGINNG_26</vt:lpstr>
      <vt:lpstr>GMIC_22A_SCDPT4!SCDPT4_110BEGINNG_27</vt:lpstr>
      <vt:lpstr>GMIC_22A_SCDPT4!SCDPT4_110BEGINNG_3</vt:lpstr>
      <vt:lpstr>GMIC_22A_SCDPT4!SCDPT4_110BEGINNG_4</vt:lpstr>
      <vt:lpstr>GMIC_22A_SCDPT4!SCDPT4_110BEGINNG_5</vt:lpstr>
      <vt:lpstr>GMIC_22A_SCDPT4!SCDPT4_110BEGINNG_6</vt:lpstr>
      <vt:lpstr>GMIC_22A_SCDPT4!SCDPT4_110BEGINNG_7</vt:lpstr>
      <vt:lpstr>GMIC_22A_SCDPT4!SCDPT4_110BEGINNG_8</vt:lpstr>
      <vt:lpstr>GMIC_22A_SCDPT4!SCDPT4_110BEGINNG_9</vt:lpstr>
      <vt:lpstr>GMIC_22A_SCDPT4!SCDPT4_110ENDINGG_10</vt:lpstr>
      <vt:lpstr>GMIC_22A_SCDPT4!SCDPT4_110ENDINGG_11</vt:lpstr>
      <vt:lpstr>GMIC_22A_SCDPT4!SCDPT4_110ENDINGG_12</vt:lpstr>
      <vt:lpstr>GMIC_22A_SCDPT4!SCDPT4_110ENDINGG_13</vt:lpstr>
      <vt:lpstr>GMIC_22A_SCDPT4!SCDPT4_110ENDINGG_14</vt:lpstr>
      <vt:lpstr>GMIC_22A_SCDPT4!SCDPT4_110ENDINGG_15</vt:lpstr>
      <vt:lpstr>GMIC_22A_SCDPT4!SCDPT4_110ENDINGG_16</vt:lpstr>
      <vt:lpstr>GMIC_22A_SCDPT4!SCDPT4_110ENDINGG_17</vt:lpstr>
      <vt:lpstr>GMIC_22A_SCDPT4!SCDPT4_110ENDINGG_18</vt:lpstr>
      <vt:lpstr>GMIC_22A_SCDPT4!SCDPT4_110ENDINGG_19</vt:lpstr>
      <vt:lpstr>GMIC_22A_SCDPT4!SCDPT4_110ENDINGG_2</vt:lpstr>
      <vt:lpstr>GMIC_22A_SCDPT4!SCDPT4_110ENDINGG_20</vt:lpstr>
      <vt:lpstr>GMIC_22A_SCDPT4!SCDPT4_110ENDINGG_21</vt:lpstr>
      <vt:lpstr>GMIC_22A_SCDPT4!SCDPT4_110ENDINGG_22</vt:lpstr>
      <vt:lpstr>GMIC_22A_SCDPT4!SCDPT4_110ENDINGG_23</vt:lpstr>
      <vt:lpstr>GMIC_22A_SCDPT4!SCDPT4_110ENDINGG_24</vt:lpstr>
      <vt:lpstr>GMIC_22A_SCDPT4!SCDPT4_110ENDINGG_25</vt:lpstr>
      <vt:lpstr>GMIC_22A_SCDPT4!SCDPT4_110ENDINGG_26</vt:lpstr>
      <vt:lpstr>GMIC_22A_SCDPT4!SCDPT4_110ENDINGG_27</vt:lpstr>
      <vt:lpstr>GMIC_22A_SCDPT4!SCDPT4_110ENDINGG_3</vt:lpstr>
      <vt:lpstr>GMIC_22A_SCDPT4!SCDPT4_110ENDINGG_4</vt:lpstr>
      <vt:lpstr>GMIC_22A_SCDPT4!SCDPT4_110ENDINGG_5</vt:lpstr>
      <vt:lpstr>GMIC_22A_SCDPT4!SCDPT4_110ENDINGG_6</vt:lpstr>
      <vt:lpstr>GMIC_22A_SCDPT4!SCDPT4_110ENDINGG_7</vt:lpstr>
      <vt:lpstr>GMIC_22A_SCDPT4!SCDPT4_110ENDINGG_8</vt:lpstr>
      <vt:lpstr>GMIC_22A_SCDPT4!SCDPT4_110ENDINGG_9</vt:lpstr>
      <vt:lpstr>GMIC_22A_SCDPT4!SCDPT4_1300000000_Range</vt:lpstr>
      <vt:lpstr>GMIC_22A_SCDPT4!SCDPT4_1309999999_10</vt:lpstr>
      <vt:lpstr>GMIC_22A_SCDPT4!SCDPT4_1309999999_11</vt:lpstr>
      <vt:lpstr>GMIC_22A_SCDPT4!SCDPT4_1309999999_12</vt:lpstr>
      <vt:lpstr>GMIC_22A_SCDPT4!SCDPT4_1309999999_13</vt:lpstr>
      <vt:lpstr>GMIC_22A_SCDPT4!SCDPT4_1309999999_14</vt:lpstr>
      <vt:lpstr>GMIC_22A_SCDPT4!SCDPT4_1309999999_15</vt:lpstr>
      <vt:lpstr>GMIC_22A_SCDPT4!SCDPT4_1309999999_16</vt:lpstr>
      <vt:lpstr>GMIC_22A_SCDPT4!SCDPT4_1309999999_17</vt:lpstr>
      <vt:lpstr>GMIC_22A_SCDPT4!SCDPT4_1309999999_18</vt:lpstr>
      <vt:lpstr>GMIC_22A_SCDPT4!SCDPT4_1309999999_19</vt:lpstr>
      <vt:lpstr>GMIC_22A_SCDPT4!SCDPT4_1309999999_20</vt:lpstr>
      <vt:lpstr>GMIC_22A_SCDPT4!SCDPT4_1309999999_7</vt:lpstr>
      <vt:lpstr>GMIC_22A_SCDPT4!SCDPT4_1309999999_8</vt:lpstr>
      <vt:lpstr>GMIC_22A_SCDPT4!SCDPT4_1309999999_9</vt:lpstr>
      <vt:lpstr>GMIC_22A_SCDPT4!SCDPT4_130BEGINNG_1</vt:lpstr>
      <vt:lpstr>GMIC_22A_SCDPT4!SCDPT4_130BEGINNG_10</vt:lpstr>
      <vt:lpstr>GMIC_22A_SCDPT4!SCDPT4_130BEGINNG_11</vt:lpstr>
      <vt:lpstr>GMIC_22A_SCDPT4!SCDPT4_130BEGINNG_12</vt:lpstr>
      <vt:lpstr>GMIC_22A_SCDPT4!SCDPT4_130BEGINNG_13</vt:lpstr>
      <vt:lpstr>GMIC_22A_SCDPT4!SCDPT4_130BEGINNG_14</vt:lpstr>
      <vt:lpstr>GMIC_22A_SCDPT4!SCDPT4_130BEGINNG_15</vt:lpstr>
      <vt:lpstr>GMIC_22A_SCDPT4!SCDPT4_130BEGINNG_16</vt:lpstr>
      <vt:lpstr>GMIC_22A_SCDPT4!SCDPT4_130BEGINNG_17</vt:lpstr>
      <vt:lpstr>GMIC_22A_SCDPT4!SCDPT4_130BEGINNG_18</vt:lpstr>
      <vt:lpstr>GMIC_22A_SCDPT4!SCDPT4_130BEGINNG_19</vt:lpstr>
      <vt:lpstr>GMIC_22A_SCDPT4!SCDPT4_130BEGINNG_2</vt:lpstr>
      <vt:lpstr>GMIC_22A_SCDPT4!SCDPT4_130BEGINNG_20</vt:lpstr>
      <vt:lpstr>GMIC_22A_SCDPT4!SCDPT4_130BEGINNG_21</vt:lpstr>
      <vt:lpstr>GMIC_22A_SCDPT4!SCDPT4_130BEGINNG_22</vt:lpstr>
      <vt:lpstr>GMIC_22A_SCDPT4!SCDPT4_130BEGINNG_23</vt:lpstr>
      <vt:lpstr>GMIC_22A_SCDPT4!SCDPT4_130BEGINNG_24</vt:lpstr>
      <vt:lpstr>GMIC_22A_SCDPT4!SCDPT4_130BEGINNG_25</vt:lpstr>
      <vt:lpstr>GMIC_22A_SCDPT4!SCDPT4_130BEGINNG_26</vt:lpstr>
      <vt:lpstr>GMIC_22A_SCDPT4!SCDPT4_130BEGINNG_27</vt:lpstr>
      <vt:lpstr>GMIC_22A_SCDPT4!SCDPT4_130BEGINNG_3</vt:lpstr>
      <vt:lpstr>GMIC_22A_SCDPT4!SCDPT4_130BEGINNG_4</vt:lpstr>
      <vt:lpstr>GMIC_22A_SCDPT4!SCDPT4_130BEGINNG_5</vt:lpstr>
      <vt:lpstr>GMIC_22A_SCDPT4!SCDPT4_130BEGINNG_6</vt:lpstr>
      <vt:lpstr>GMIC_22A_SCDPT4!SCDPT4_130BEGINNG_7</vt:lpstr>
      <vt:lpstr>GMIC_22A_SCDPT4!SCDPT4_130BEGINNG_8</vt:lpstr>
      <vt:lpstr>GMIC_22A_SCDPT4!SCDPT4_130BEGINNG_9</vt:lpstr>
      <vt:lpstr>GMIC_22A_SCDPT4!SCDPT4_130ENDINGG_10</vt:lpstr>
      <vt:lpstr>GMIC_22A_SCDPT4!SCDPT4_130ENDINGG_11</vt:lpstr>
      <vt:lpstr>GMIC_22A_SCDPT4!SCDPT4_130ENDINGG_12</vt:lpstr>
      <vt:lpstr>GMIC_22A_SCDPT4!SCDPT4_130ENDINGG_13</vt:lpstr>
      <vt:lpstr>GMIC_22A_SCDPT4!SCDPT4_130ENDINGG_14</vt:lpstr>
      <vt:lpstr>GMIC_22A_SCDPT4!SCDPT4_130ENDINGG_15</vt:lpstr>
      <vt:lpstr>GMIC_22A_SCDPT4!SCDPT4_130ENDINGG_16</vt:lpstr>
      <vt:lpstr>GMIC_22A_SCDPT4!SCDPT4_130ENDINGG_17</vt:lpstr>
      <vt:lpstr>GMIC_22A_SCDPT4!SCDPT4_130ENDINGG_18</vt:lpstr>
      <vt:lpstr>GMIC_22A_SCDPT4!SCDPT4_130ENDINGG_19</vt:lpstr>
      <vt:lpstr>GMIC_22A_SCDPT4!SCDPT4_130ENDINGG_2</vt:lpstr>
      <vt:lpstr>GMIC_22A_SCDPT4!SCDPT4_130ENDINGG_20</vt:lpstr>
      <vt:lpstr>GMIC_22A_SCDPT4!SCDPT4_130ENDINGG_21</vt:lpstr>
      <vt:lpstr>GMIC_22A_SCDPT4!SCDPT4_130ENDINGG_22</vt:lpstr>
      <vt:lpstr>GMIC_22A_SCDPT4!SCDPT4_130ENDINGG_23</vt:lpstr>
      <vt:lpstr>GMIC_22A_SCDPT4!SCDPT4_130ENDINGG_24</vt:lpstr>
      <vt:lpstr>GMIC_22A_SCDPT4!SCDPT4_130ENDINGG_25</vt:lpstr>
      <vt:lpstr>GMIC_22A_SCDPT4!SCDPT4_130ENDINGG_26</vt:lpstr>
      <vt:lpstr>GMIC_22A_SCDPT4!SCDPT4_130ENDINGG_27</vt:lpstr>
      <vt:lpstr>GMIC_22A_SCDPT4!SCDPT4_130ENDINGG_3</vt:lpstr>
      <vt:lpstr>GMIC_22A_SCDPT4!SCDPT4_130ENDINGG_4</vt:lpstr>
      <vt:lpstr>GMIC_22A_SCDPT4!SCDPT4_130ENDINGG_5</vt:lpstr>
      <vt:lpstr>GMIC_22A_SCDPT4!SCDPT4_130ENDINGG_6</vt:lpstr>
      <vt:lpstr>GMIC_22A_SCDPT4!SCDPT4_130ENDINGG_7</vt:lpstr>
      <vt:lpstr>GMIC_22A_SCDPT4!SCDPT4_130ENDINGG_8</vt:lpstr>
      <vt:lpstr>GMIC_22A_SCDPT4!SCDPT4_130ENDINGG_9</vt:lpstr>
      <vt:lpstr>GMIC_22A_SCDPT4!SCDPT4_1500000000_Range</vt:lpstr>
      <vt:lpstr>GMIC_22A_SCDPT4!SCDPT4_1509999999_10</vt:lpstr>
      <vt:lpstr>GMIC_22A_SCDPT4!SCDPT4_1509999999_11</vt:lpstr>
      <vt:lpstr>GMIC_22A_SCDPT4!SCDPT4_1509999999_12</vt:lpstr>
      <vt:lpstr>GMIC_22A_SCDPT4!SCDPT4_1509999999_13</vt:lpstr>
      <vt:lpstr>GMIC_22A_SCDPT4!SCDPT4_1509999999_14</vt:lpstr>
      <vt:lpstr>GMIC_22A_SCDPT4!SCDPT4_1509999999_15</vt:lpstr>
      <vt:lpstr>GMIC_22A_SCDPT4!SCDPT4_1509999999_16</vt:lpstr>
      <vt:lpstr>GMIC_22A_SCDPT4!SCDPT4_1509999999_17</vt:lpstr>
      <vt:lpstr>GMIC_22A_SCDPT4!SCDPT4_1509999999_18</vt:lpstr>
      <vt:lpstr>GMIC_22A_SCDPT4!SCDPT4_1509999999_19</vt:lpstr>
      <vt:lpstr>GMIC_22A_SCDPT4!SCDPT4_1509999999_20</vt:lpstr>
      <vt:lpstr>GMIC_22A_SCDPT4!SCDPT4_1509999999_7</vt:lpstr>
      <vt:lpstr>GMIC_22A_SCDPT4!SCDPT4_1509999999_8</vt:lpstr>
      <vt:lpstr>GMIC_22A_SCDPT4!SCDPT4_1509999999_9</vt:lpstr>
      <vt:lpstr>GMIC_22A_SCDPT4!SCDPT4_150BEGINNG_1</vt:lpstr>
      <vt:lpstr>GMIC_22A_SCDPT4!SCDPT4_150BEGINNG_10</vt:lpstr>
      <vt:lpstr>GMIC_22A_SCDPT4!SCDPT4_150BEGINNG_11</vt:lpstr>
      <vt:lpstr>GMIC_22A_SCDPT4!SCDPT4_150BEGINNG_12</vt:lpstr>
      <vt:lpstr>GMIC_22A_SCDPT4!SCDPT4_150BEGINNG_13</vt:lpstr>
      <vt:lpstr>GMIC_22A_SCDPT4!SCDPT4_150BEGINNG_14</vt:lpstr>
      <vt:lpstr>GMIC_22A_SCDPT4!SCDPT4_150BEGINNG_15</vt:lpstr>
      <vt:lpstr>GMIC_22A_SCDPT4!SCDPT4_150BEGINNG_16</vt:lpstr>
      <vt:lpstr>GMIC_22A_SCDPT4!SCDPT4_150BEGINNG_17</vt:lpstr>
      <vt:lpstr>GMIC_22A_SCDPT4!SCDPT4_150BEGINNG_18</vt:lpstr>
      <vt:lpstr>GMIC_22A_SCDPT4!SCDPT4_150BEGINNG_19</vt:lpstr>
      <vt:lpstr>GMIC_22A_SCDPT4!SCDPT4_150BEGINNG_2</vt:lpstr>
      <vt:lpstr>GMIC_22A_SCDPT4!SCDPT4_150BEGINNG_20</vt:lpstr>
      <vt:lpstr>GMIC_22A_SCDPT4!SCDPT4_150BEGINNG_21</vt:lpstr>
      <vt:lpstr>GMIC_22A_SCDPT4!SCDPT4_150BEGINNG_22</vt:lpstr>
      <vt:lpstr>GMIC_22A_SCDPT4!SCDPT4_150BEGINNG_23</vt:lpstr>
      <vt:lpstr>GMIC_22A_SCDPT4!SCDPT4_150BEGINNG_24</vt:lpstr>
      <vt:lpstr>GMIC_22A_SCDPT4!SCDPT4_150BEGINNG_25</vt:lpstr>
      <vt:lpstr>GMIC_22A_SCDPT4!SCDPT4_150BEGINNG_26</vt:lpstr>
      <vt:lpstr>GMIC_22A_SCDPT4!SCDPT4_150BEGINNG_27</vt:lpstr>
      <vt:lpstr>GMIC_22A_SCDPT4!SCDPT4_150BEGINNG_3</vt:lpstr>
      <vt:lpstr>GMIC_22A_SCDPT4!SCDPT4_150BEGINNG_4</vt:lpstr>
      <vt:lpstr>GMIC_22A_SCDPT4!SCDPT4_150BEGINNG_5</vt:lpstr>
      <vt:lpstr>GMIC_22A_SCDPT4!SCDPT4_150BEGINNG_6</vt:lpstr>
      <vt:lpstr>GMIC_22A_SCDPT4!SCDPT4_150BEGINNG_7</vt:lpstr>
      <vt:lpstr>GMIC_22A_SCDPT4!SCDPT4_150BEGINNG_8</vt:lpstr>
      <vt:lpstr>GMIC_22A_SCDPT4!SCDPT4_150BEGINNG_9</vt:lpstr>
      <vt:lpstr>GMIC_22A_SCDPT4!SCDPT4_150ENDINGG_10</vt:lpstr>
      <vt:lpstr>GMIC_22A_SCDPT4!SCDPT4_150ENDINGG_11</vt:lpstr>
      <vt:lpstr>GMIC_22A_SCDPT4!SCDPT4_150ENDINGG_12</vt:lpstr>
      <vt:lpstr>GMIC_22A_SCDPT4!SCDPT4_150ENDINGG_13</vt:lpstr>
      <vt:lpstr>GMIC_22A_SCDPT4!SCDPT4_150ENDINGG_14</vt:lpstr>
      <vt:lpstr>GMIC_22A_SCDPT4!SCDPT4_150ENDINGG_15</vt:lpstr>
      <vt:lpstr>GMIC_22A_SCDPT4!SCDPT4_150ENDINGG_16</vt:lpstr>
      <vt:lpstr>GMIC_22A_SCDPT4!SCDPT4_150ENDINGG_17</vt:lpstr>
      <vt:lpstr>GMIC_22A_SCDPT4!SCDPT4_150ENDINGG_18</vt:lpstr>
      <vt:lpstr>GMIC_22A_SCDPT4!SCDPT4_150ENDINGG_19</vt:lpstr>
      <vt:lpstr>GMIC_22A_SCDPT4!SCDPT4_150ENDINGG_2</vt:lpstr>
      <vt:lpstr>GMIC_22A_SCDPT4!SCDPT4_150ENDINGG_20</vt:lpstr>
      <vt:lpstr>GMIC_22A_SCDPT4!SCDPT4_150ENDINGG_21</vt:lpstr>
      <vt:lpstr>GMIC_22A_SCDPT4!SCDPT4_150ENDINGG_22</vt:lpstr>
      <vt:lpstr>GMIC_22A_SCDPT4!SCDPT4_150ENDINGG_23</vt:lpstr>
      <vt:lpstr>GMIC_22A_SCDPT4!SCDPT4_150ENDINGG_24</vt:lpstr>
      <vt:lpstr>GMIC_22A_SCDPT4!SCDPT4_150ENDINGG_25</vt:lpstr>
      <vt:lpstr>GMIC_22A_SCDPT4!SCDPT4_150ENDINGG_26</vt:lpstr>
      <vt:lpstr>GMIC_22A_SCDPT4!SCDPT4_150ENDINGG_27</vt:lpstr>
      <vt:lpstr>GMIC_22A_SCDPT4!SCDPT4_150ENDINGG_3</vt:lpstr>
      <vt:lpstr>GMIC_22A_SCDPT4!SCDPT4_150ENDINGG_4</vt:lpstr>
      <vt:lpstr>GMIC_22A_SCDPT4!SCDPT4_150ENDINGG_5</vt:lpstr>
      <vt:lpstr>GMIC_22A_SCDPT4!SCDPT4_150ENDINGG_6</vt:lpstr>
      <vt:lpstr>GMIC_22A_SCDPT4!SCDPT4_150ENDINGG_7</vt:lpstr>
      <vt:lpstr>GMIC_22A_SCDPT4!SCDPT4_150ENDINGG_8</vt:lpstr>
      <vt:lpstr>GMIC_22A_SCDPT4!SCDPT4_150ENDINGG_9</vt:lpstr>
      <vt:lpstr>GMIC_22A_SCDPT4!SCDPT4_1610000000_Range</vt:lpstr>
      <vt:lpstr>GMIC_22A_SCDPT4!SCDPT4_1619999999_10</vt:lpstr>
      <vt:lpstr>GMIC_22A_SCDPT4!SCDPT4_1619999999_11</vt:lpstr>
      <vt:lpstr>GMIC_22A_SCDPT4!SCDPT4_1619999999_12</vt:lpstr>
      <vt:lpstr>GMIC_22A_SCDPT4!SCDPT4_1619999999_13</vt:lpstr>
      <vt:lpstr>GMIC_22A_SCDPT4!SCDPT4_1619999999_14</vt:lpstr>
      <vt:lpstr>GMIC_22A_SCDPT4!SCDPT4_1619999999_15</vt:lpstr>
      <vt:lpstr>GMIC_22A_SCDPT4!SCDPT4_1619999999_16</vt:lpstr>
      <vt:lpstr>GMIC_22A_SCDPT4!SCDPT4_1619999999_17</vt:lpstr>
      <vt:lpstr>GMIC_22A_SCDPT4!SCDPT4_1619999999_18</vt:lpstr>
      <vt:lpstr>GMIC_22A_SCDPT4!SCDPT4_1619999999_19</vt:lpstr>
      <vt:lpstr>GMIC_22A_SCDPT4!SCDPT4_1619999999_20</vt:lpstr>
      <vt:lpstr>GMIC_22A_SCDPT4!SCDPT4_1619999999_7</vt:lpstr>
      <vt:lpstr>GMIC_22A_SCDPT4!SCDPT4_1619999999_8</vt:lpstr>
      <vt:lpstr>GMIC_22A_SCDPT4!SCDPT4_1619999999_9</vt:lpstr>
      <vt:lpstr>GMIC_22A_SCDPT4!SCDPT4_161BEGINNG_1</vt:lpstr>
      <vt:lpstr>GMIC_22A_SCDPT4!SCDPT4_161BEGINNG_10</vt:lpstr>
      <vt:lpstr>GMIC_22A_SCDPT4!SCDPT4_161BEGINNG_11</vt:lpstr>
      <vt:lpstr>GMIC_22A_SCDPT4!SCDPT4_161BEGINNG_12</vt:lpstr>
      <vt:lpstr>GMIC_22A_SCDPT4!SCDPT4_161BEGINNG_13</vt:lpstr>
      <vt:lpstr>GMIC_22A_SCDPT4!SCDPT4_161BEGINNG_14</vt:lpstr>
      <vt:lpstr>GMIC_22A_SCDPT4!SCDPT4_161BEGINNG_15</vt:lpstr>
      <vt:lpstr>GMIC_22A_SCDPT4!SCDPT4_161BEGINNG_16</vt:lpstr>
      <vt:lpstr>GMIC_22A_SCDPT4!SCDPT4_161BEGINNG_17</vt:lpstr>
      <vt:lpstr>GMIC_22A_SCDPT4!SCDPT4_161BEGINNG_18</vt:lpstr>
      <vt:lpstr>GMIC_22A_SCDPT4!SCDPT4_161BEGINNG_19</vt:lpstr>
      <vt:lpstr>GMIC_22A_SCDPT4!SCDPT4_161BEGINNG_2</vt:lpstr>
      <vt:lpstr>GMIC_22A_SCDPT4!SCDPT4_161BEGINNG_20</vt:lpstr>
      <vt:lpstr>GMIC_22A_SCDPT4!SCDPT4_161BEGINNG_21</vt:lpstr>
      <vt:lpstr>GMIC_22A_SCDPT4!SCDPT4_161BEGINNG_22</vt:lpstr>
      <vt:lpstr>GMIC_22A_SCDPT4!SCDPT4_161BEGINNG_23</vt:lpstr>
      <vt:lpstr>GMIC_22A_SCDPT4!SCDPT4_161BEGINNG_24</vt:lpstr>
      <vt:lpstr>GMIC_22A_SCDPT4!SCDPT4_161BEGINNG_25</vt:lpstr>
      <vt:lpstr>GMIC_22A_SCDPT4!SCDPT4_161BEGINNG_26</vt:lpstr>
      <vt:lpstr>GMIC_22A_SCDPT4!SCDPT4_161BEGINNG_27</vt:lpstr>
      <vt:lpstr>GMIC_22A_SCDPT4!SCDPT4_161BEGINNG_3</vt:lpstr>
      <vt:lpstr>GMIC_22A_SCDPT4!SCDPT4_161BEGINNG_4</vt:lpstr>
      <vt:lpstr>GMIC_22A_SCDPT4!SCDPT4_161BEGINNG_5</vt:lpstr>
      <vt:lpstr>GMIC_22A_SCDPT4!SCDPT4_161BEGINNG_6</vt:lpstr>
      <vt:lpstr>GMIC_22A_SCDPT4!SCDPT4_161BEGINNG_7</vt:lpstr>
      <vt:lpstr>GMIC_22A_SCDPT4!SCDPT4_161BEGINNG_8</vt:lpstr>
      <vt:lpstr>GMIC_22A_SCDPT4!SCDPT4_161BEGINNG_9</vt:lpstr>
      <vt:lpstr>GMIC_22A_SCDPT4!SCDPT4_161ENDINGG_10</vt:lpstr>
      <vt:lpstr>GMIC_22A_SCDPT4!SCDPT4_161ENDINGG_11</vt:lpstr>
      <vt:lpstr>GMIC_22A_SCDPT4!SCDPT4_161ENDINGG_12</vt:lpstr>
      <vt:lpstr>GMIC_22A_SCDPT4!SCDPT4_161ENDINGG_13</vt:lpstr>
      <vt:lpstr>GMIC_22A_SCDPT4!SCDPT4_161ENDINGG_14</vt:lpstr>
      <vt:lpstr>GMIC_22A_SCDPT4!SCDPT4_161ENDINGG_15</vt:lpstr>
      <vt:lpstr>GMIC_22A_SCDPT4!SCDPT4_161ENDINGG_16</vt:lpstr>
      <vt:lpstr>GMIC_22A_SCDPT4!SCDPT4_161ENDINGG_17</vt:lpstr>
      <vt:lpstr>GMIC_22A_SCDPT4!SCDPT4_161ENDINGG_18</vt:lpstr>
      <vt:lpstr>GMIC_22A_SCDPT4!SCDPT4_161ENDINGG_19</vt:lpstr>
      <vt:lpstr>GMIC_22A_SCDPT4!SCDPT4_161ENDINGG_2</vt:lpstr>
      <vt:lpstr>GMIC_22A_SCDPT4!SCDPT4_161ENDINGG_20</vt:lpstr>
      <vt:lpstr>GMIC_22A_SCDPT4!SCDPT4_161ENDINGG_21</vt:lpstr>
      <vt:lpstr>GMIC_22A_SCDPT4!SCDPT4_161ENDINGG_22</vt:lpstr>
      <vt:lpstr>GMIC_22A_SCDPT4!SCDPT4_161ENDINGG_23</vt:lpstr>
      <vt:lpstr>GMIC_22A_SCDPT4!SCDPT4_161ENDINGG_24</vt:lpstr>
      <vt:lpstr>GMIC_22A_SCDPT4!SCDPT4_161ENDINGG_25</vt:lpstr>
      <vt:lpstr>GMIC_22A_SCDPT4!SCDPT4_161ENDINGG_26</vt:lpstr>
      <vt:lpstr>GMIC_22A_SCDPT4!SCDPT4_161ENDINGG_27</vt:lpstr>
      <vt:lpstr>GMIC_22A_SCDPT4!SCDPT4_161ENDINGG_3</vt:lpstr>
      <vt:lpstr>GMIC_22A_SCDPT4!SCDPT4_161ENDINGG_4</vt:lpstr>
      <vt:lpstr>GMIC_22A_SCDPT4!SCDPT4_161ENDINGG_5</vt:lpstr>
      <vt:lpstr>GMIC_22A_SCDPT4!SCDPT4_161ENDINGG_6</vt:lpstr>
      <vt:lpstr>GMIC_22A_SCDPT4!SCDPT4_161ENDINGG_7</vt:lpstr>
      <vt:lpstr>GMIC_22A_SCDPT4!SCDPT4_161ENDINGG_8</vt:lpstr>
      <vt:lpstr>GMIC_22A_SCDPT4!SCDPT4_161ENDINGG_9</vt:lpstr>
      <vt:lpstr>GMIC_22A_SCDPT4!SCDPT4_1900000000_Range</vt:lpstr>
      <vt:lpstr>GMIC_22A_SCDPT4!SCDPT4_1909999999_10</vt:lpstr>
      <vt:lpstr>GMIC_22A_SCDPT4!SCDPT4_1909999999_11</vt:lpstr>
      <vt:lpstr>GMIC_22A_SCDPT4!SCDPT4_1909999999_12</vt:lpstr>
      <vt:lpstr>GMIC_22A_SCDPT4!SCDPT4_1909999999_13</vt:lpstr>
      <vt:lpstr>GMIC_22A_SCDPT4!SCDPT4_1909999999_14</vt:lpstr>
      <vt:lpstr>GMIC_22A_SCDPT4!SCDPT4_1909999999_15</vt:lpstr>
      <vt:lpstr>GMIC_22A_SCDPT4!SCDPT4_1909999999_16</vt:lpstr>
      <vt:lpstr>GMIC_22A_SCDPT4!SCDPT4_1909999999_17</vt:lpstr>
      <vt:lpstr>GMIC_22A_SCDPT4!SCDPT4_1909999999_18</vt:lpstr>
      <vt:lpstr>GMIC_22A_SCDPT4!SCDPT4_1909999999_19</vt:lpstr>
      <vt:lpstr>GMIC_22A_SCDPT4!SCDPT4_1909999999_20</vt:lpstr>
      <vt:lpstr>GMIC_22A_SCDPT4!SCDPT4_1909999999_7</vt:lpstr>
      <vt:lpstr>GMIC_22A_SCDPT4!SCDPT4_1909999999_8</vt:lpstr>
      <vt:lpstr>GMIC_22A_SCDPT4!SCDPT4_1909999999_9</vt:lpstr>
      <vt:lpstr>GMIC_22A_SCDPT4!SCDPT4_190BEGINNG_1</vt:lpstr>
      <vt:lpstr>GMIC_22A_SCDPT4!SCDPT4_190BEGINNG_10</vt:lpstr>
      <vt:lpstr>GMIC_22A_SCDPT4!SCDPT4_190BEGINNG_11</vt:lpstr>
      <vt:lpstr>GMIC_22A_SCDPT4!SCDPT4_190BEGINNG_12</vt:lpstr>
      <vt:lpstr>GMIC_22A_SCDPT4!SCDPT4_190BEGINNG_13</vt:lpstr>
      <vt:lpstr>GMIC_22A_SCDPT4!SCDPT4_190BEGINNG_14</vt:lpstr>
      <vt:lpstr>GMIC_22A_SCDPT4!SCDPT4_190BEGINNG_15</vt:lpstr>
      <vt:lpstr>GMIC_22A_SCDPT4!SCDPT4_190BEGINNG_16</vt:lpstr>
      <vt:lpstr>GMIC_22A_SCDPT4!SCDPT4_190BEGINNG_17</vt:lpstr>
      <vt:lpstr>GMIC_22A_SCDPT4!SCDPT4_190BEGINNG_18</vt:lpstr>
      <vt:lpstr>GMIC_22A_SCDPT4!SCDPT4_190BEGINNG_19</vt:lpstr>
      <vt:lpstr>GMIC_22A_SCDPT4!SCDPT4_190BEGINNG_2</vt:lpstr>
      <vt:lpstr>GMIC_22A_SCDPT4!SCDPT4_190BEGINNG_20</vt:lpstr>
      <vt:lpstr>GMIC_22A_SCDPT4!SCDPT4_190BEGINNG_21</vt:lpstr>
      <vt:lpstr>GMIC_22A_SCDPT4!SCDPT4_190BEGINNG_22</vt:lpstr>
      <vt:lpstr>GMIC_22A_SCDPT4!SCDPT4_190BEGINNG_23</vt:lpstr>
      <vt:lpstr>GMIC_22A_SCDPT4!SCDPT4_190BEGINNG_24</vt:lpstr>
      <vt:lpstr>GMIC_22A_SCDPT4!SCDPT4_190BEGINNG_25</vt:lpstr>
      <vt:lpstr>GMIC_22A_SCDPT4!SCDPT4_190BEGINNG_26</vt:lpstr>
      <vt:lpstr>GMIC_22A_SCDPT4!SCDPT4_190BEGINNG_27</vt:lpstr>
      <vt:lpstr>GMIC_22A_SCDPT4!SCDPT4_190BEGINNG_3</vt:lpstr>
      <vt:lpstr>GMIC_22A_SCDPT4!SCDPT4_190BEGINNG_4</vt:lpstr>
      <vt:lpstr>GMIC_22A_SCDPT4!SCDPT4_190BEGINNG_5</vt:lpstr>
      <vt:lpstr>GMIC_22A_SCDPT4!SCDPT4_190BEGINNG_6</vt:lpstr>
      <vt:lpstr>GMIC_22A_SCDPT4!SCDPT4_190BEGINNG_7</vt:lpstr>
      <vt:lpstr>GMIC_22A_SCDPT4!SCDPT4_190BEGINNG_8</vt:lpstr>
      <vt:lpstr>GMIC_22A_SCDPT4!SCDPT4_190BEGINNG_9</vt:lpstr>
      <vt:lpstr>GMIC_22A_SCDPT4!SCDPT4_190ENDINGG_10</vt:lpstr>
      <vt:lpstr>GMIC_22A_SCDPT4!SCDPT4_190ENDINGG_11</vt:lpstr>
      <vt:lpstr>GMIC_22A_SCDPT4!SCDPT4_190ENDINGG_12</vt:lpstr>
      <vt:lpstr>GMIC_22A_SCDPT4!SCDPT4_190ENDINGG_13</vt:lpstr>
      <vt:lpstr>GMIC_22A_SCDPT4!SCDPT4_190ENDINGG_14</vt:lpstr>
      <vt:lpstr>GMIC_22A_SCDPT4!SCDPT4_190ENDINGG_15</vt:lpstr>
      <vt:lpstr>GMIC_22A_SCDPT4!SCDPT4_190ENDINGG_16</vt:lpstr>
      <vt:lpstr>GMIC_22A_SCDPT4!SCDPT4_190ENDINGG_17</vt:lpstr>
      <vt:lpstr>GMIC_22A_SCDPT4!SCDPT4_190ENDINGG_18</vt:lpstr>
      <vt:lpstr>GMIC_22A_SCDPT4!SCDPT4_190ENDINGG_19</vt:lpstr>
      <vt:lpstr>GMIC_22A_SCDPT4!SCDPT4_190ENDINGG_2</vt:lpstr>
      <vt:lpstr>GMIC_22A_SCDPT4!SCDPT4_190ENDINGG_20</vt:lpstr>
      <vt:lpstr>GMIC_22A_SCDPT4!SCDPT4_190ENDINGG_21</vt:lpstr>
      <vt:lpstr>GMIC_22A_SCDPT4!SCDPT4_190ENDINGG_22</vt:lpstr>
      <vt:lpstr>GMIC_22A_SCDPT4!SCDPT4_190ENDINGG_23</vt:lpstr>
      <vt:lpstr>GMIC_22A_SCDPT4!SCDPT4_190ENDINGG_24</vt:lpstr>
      <vt:lpstr>GMIC_22A_SCDPT4!SCDPT4_190ENDINGG_25</vt:lpstr>
      <vt:lpstr>GMIC_22A_SCDPT4!SCDPT4_190ENDINGG_26</vt:lpstr>
      <vt:lpstr>GMIC_22A_SCDPT4!SCDPT4_190ENDINGG_27</vt:lpstr>
      <vt:lpstr>GMIC_22A_SCDPT4!SCDPT4_190ENDINGG_3</vt:lpstr>
      <vt:lpstr>GMIC_22A_SCDPT4!SCDPT4_190ENDINGG_4</vt:lpstr>
      <vt:lpstr>GMIC_22A_SCDPT4!SCDPT4_190ENDINGG_5</vt:lpstr>
      <vt:lpstr>GMIC_22A_SCDPT4!SCDPT4_190ENDINGG_6</vt:lpstr>
      <vt:lpstr>GMIC_22A_SCDPT4!SCDPT4_190ENDINGG_7</vt:lpstr>
      <vt:lpstr>GMIC_22A_SCDPT4!SCDPT4_190ENDINGG_8</vt:lpstr>
      <vt:lpstr>GMIC_22A_SCDPT4!SCDPT4_190ENDINGG_9</vt:lpstr>
      <vt:lpstr>GMIC_22A_SCDPT4!SCDPT4_2010000000_Range</vt:lpstr>
      <vt:lpstr>GMIC_22A_SCDPT4!SCDPT4_2019999999_10</vt:lpstr>
      <vt:lpstr>GMIC_22A_SCDPT4!SCDPT4_2019999999_11</vt:lpstr>
      <vt:lpstr>GMIC_22A_SCDPT4!SCDPT4_2019999999_12</vt:lpstr>
      <vt:lpstr>GMIC_22A_SCDPT4!SCDPT4_2019999999_13</vt:lpstr>
      <vt:lpstr>GMIC_22A_SCDPT4!SCDPT4_2019999999_14</vt:lpstr>
      <vt:lpstr>GMIC_22A_SCDPT4!SCDPT4_2019999999_15</vt:lpstr>
      <vt:lpstr>GMIC_22A_SCDPT4!SCDPT4_2019999999_16</vt:lpstr>
      <vt:lpstr>GMIC_22A_SCDPT4!SCDPT4_2019999999_17</vt:lpstr>
      <vt:lpstr>GMIC_22A_SCDPT4!SCDPT4_2019999999_18</vt:lpstr>
      <vt:lpstr>GMIC_22A_SCDPT4!SCDPT4_2019999999_19</vt:lpstr>
      <vt:lpstr>GMIC_22A_SCDPT4!SCDPT4_2019999999_20</vt:lpstr>
      <vt:lpstr>GMIC_22A_SCDPT4!SCDPT4_2019999999_7</vt:lpstr>
      <vt:lpstr>GMIC_22A_SCDPT4!SCDPT4_2019999999_8</vt:lpstr>
      <vt:lpstr>GMIC_22A_SCDPT4!SCDPT4_2019999999_9</vt:lpstr>
      <vt:lpstr>GMIC_22A_SCDPT4!SCDPT4_201BEGINNG_1</vt:lpstr>
      <vt:lpstr>GMIC_22A_SCDPT4!SCDPT4_201BEGINNG_10</vt:lpstr>
      <vt:lpstr>GMIC_22A_SCDPT4!SCDPT4_201BEGINNG_11</vt:lpstr>
      <vt:lpstr>GMIC_22A_SCDPT4!SCDPT4_201BEGINNG_12</vt:lpstr>
      <vt:lpstr>GMIC_22A_SCDPT4!SCDPT4_201BEGINNG_13</vt:lpstr>
      <vt:lpstr>GMIC_22A_SCDPT4!SCDPT4_201BEGINNG_14</vt:lpstr>
      <vt:lpstr>GMIC_22A_SCDPT4!SCDPT4_201BEGINNG_15</vt:lpstr>
      <vt:lpstr>GMIC_22A_SCDPT4!SCDPT4_201BEGINNG_16</vt:lpstr>
      <vt:lpstr>GMIC_22A_SCDPT4!SCDPT4_201BEGINNG_17</vt:lpstr>
      <vt:lpstr>GMIC_22A_SCDPT4!SCDPT4_201BEGINNG_18</vt:lpstr>
      <vt:lpstr>GMIC_22A_SCDPT4!SCDPT4_201BEGINNG_19</vt:lpstr>
      <vt:lpstr>GMIC_22A_SCDPT4!SCDPT4_201BEGINNG_2</vt:lpstr>
      <vt:lpstr>GMIC_22A_SCDPT4!SCDPT4_201BEGINNG_20</vt:lpstr>
      <vt:lpstr>GMIC_22A_SCDPT4!SCDPT4_201BEGINNG_21</vt:lpstr>
      <vt:lpstr>GMIC_22A_SCDPT4!SCDPT4_201BEGINNG_22</vt:lpstr>
      <vt:lpstr>GMIC_22A_SCDPT4!SCDPT4_201BEGINNG_23</vt:lpstr>
      <vt:lpstr>GMIC_22A_SCDPT4!SCDPT4_201BEGINNG_24</vt:lpstr>
      <vt:lpstr>GMIC_22A_SCDPT4!SCDPT4_201BEGINNG_25</vt:lpstr>
      <vt:lpstr>GMIC_22A_SCDPT4!SCDPT4_201BEGINNG_26</vt:lpstr>
      <vt:lpstr>GMIC_22A_SCDPT4!SCDPT4_201BEGINNG_27</vt:lpstr>
      <vt:lpstr>GMIC_22A_SCDPT4!SCDPT4_201BEGINNG_3</vt:lpstr>
      <vt:lpstr>GMIC_22A_SCDPT4!SCDPT4_201BEGINNG_4</vt:lpstr>
      <vt:lpstr>GMIC_22A_SCDPT4!SCDPT4_201BEGINNG_5</vt:lpstr>
      <vt:lpstr>GMIC_22A_SCDPT4!SCDPT4_201BEGINNG_6</vt:lpstr>
      <vt:lpstr>GMIC_22A_SCDPT4!SCDPT4_201BEGINNG_7</vt:lpstr>
      <vt:lpstr>GMIC_22A_SCDPT4!SCDPT4_201BEGINNG_8</vt:lpstr>
      <vt:lpstr>GMIC_22A_SCDPT4!SCDPT4_201BEGINNG_9</vt:lpstr>
      <vt:lpstr>GMIC_22A_SCDPT4!SCDPT4_201ENDINGG_10</vt:lpstr>
      <vt:lpstr>GMIC_22A_SCDPT4!SCDPT4_201ENDINGG_11</vt:lpstr>
      <vt:lpstr>GMIC_22A_SCDPT4!SCDPT4_201ENDINGG_12</vt:lpstr>
      <vt:lpstr>GMIC_22A_SCDPT4!SCDPT4_201ENDINGG_13</vt:lpstr>
      <vt:lpstr>GMIC_22A_SCDPT4!SCDPT4_201ENDINGG_14</vt:lpstr>
      <vt:lpstr>GMIC_22A_SCDPT4!SCDPT4_201ENDINGG_15</vt:lpstr>
      <vt:lpstr>GMIC_22A_SCDPT4!SCDPT4_201ENDINGG_16</vt:lpstr>
      <vt:lpstr>GMIC_22A_SCDPT4!SCDPT4_201ENDINGG_17</vt:lpstr>
      <vt:lpstr>GMIC_22A_SCDPT4!SCDPT4_201ENDINGG_18</vt:lpstr>
      <vt:lpstr>GMIC_22A_SCDPT4!SCDPT4_201ENDINGG_19</vt:lpstr>
      <vt:lpstr>GMIC_22A_SCDPT4!SCDPT4_201ENDINGG_2</vt:lpstr>
      <vt:lpstr>GMIC_22A_SCDPT4!SCDPT4_201ENDINGG_20</vt:lpstr>
      <vt:lpstr>GMIC_22A_SCDPT4!SCDPT4_201ENDINGG_21</vt:lpstr>
      <vt:lpstr>GMIC_22A_SCDPT4!SCDPT4_201ENDINGG_22</vt:lpstr>
      <vt:lpstr>GMIC_22A_SCDPT4!SCDPT4_201ENDINGG_23</vt:lpstr>
      <vt:lpstr>GMIC_22A_SCDPT4!SCDPT4_201ENDINGG_24</vt:lpstr>
      <vt:lpstr>GMIC_22A_SCDPT4!SCDPT4_201ENDINGG_25</vt:lpstr>
      <vt:lpstr>GMIC_22A_SCDPT4!SCDPT4_201ENDINGG_26</vt:lpstr>
      <vt:lpstr>GMIC_22A_SCDPT4!SCDPT4_201ENDINGG_27</vt:lpstr>
      <vt:lpstr>GMIC_22A_SCDPT4!SCDPT4_201ENDINGG_3</vt:lpstr>
      <vt:lpstr>GMIC_22A_SCDPT4!SCDPT4_201ENDINGG_4</vt:lpstr>
      <vt:lpstr>GMIC_22A_SCDPT4!SCDPT4_201ENDINGG_5</vt:lpstr>
      <vt:lpstr>GMIC_22A_SCDPT4!SCDPT4_201ENDINGG_6</vt:lpstr>
      <vt:lpstr>GMIC_22A_SCDPT4!SCDPT4_201ENDINGG_7</vt:lpstr>
      <vt:lpstr>GMIC_22A_SCDPT4!SCDPT4_201ENDINGG_8</vt:lpstr>
      <vt:lpstr>GMIC_22A_SCDPT4!SCDPT4_201ENDINGG_9</vt:lpstr>
      <vt:lpstr>GMIC_22A_SCDPT4!SCDPT4_2509999997_10</vt:lpstr>
      <vt:lpstr>GMIC_22A_SCDPT4!SCDPT4_2509999997_11</vt:lpstr>
      <vt:lpstr>GMIC_22A_SCDPT4!SCDPT4_2509999997_12</vt:lpstr>
      <vt:lpstr>GMIC_22A_SCDPT4!SCDPT4_2509999997_13</vt:lpstr>
      <vt:lpstr>GMIC_22A_SCDPT4!SCDPT4_2509999997_14</vt:lpstr>
      <vt:lpstr>GMIC_22A_SCDPT4!SCDPT4_2509999997_15</vt:lpstr>
      <vt:lpstr>GMIC_22A_SCDPT4!SCDPT4_2509999997_16</vt:lpstr>
      <vt:lpstr>GMIC_22A_SCDPT4!SCDPT4_2509999997_17</vt:lpstr>
      <vt:lpstr>GMIC_22A_SCDPT4!SCDPT4_2509999997_18</vt:lpstr>
      <vt:lpstr>GMIC_22A_SCDPT4!SCDPT4_2509999997_19</vt:lpstr>
      <vt:lpstr>GMIC_22A_SCDPT4!SCDPT4_2509999997_20</vt:lpstr>
      <vt:lpstr>GMIC_22A_SCDPT4!SCDPT4_2509999997_7</vt:lpstr>
      <vt:lpstr>GMIC_22A_SCDPT4!SCDPT4_2509999997_8</vt:lpstr>
      <vt:lpstr>GMIC_22A_SCDPT4!SCDPT4_2509999997_9</vt:lpstr>
      <vt:lpstr>GMIC_22A_SCDPT4!SCDPT4_2509999998_10</vt:lpstr>
      <vt:lpstr>GMIC_22A_SCDPT4!SCDPT4_2509999998_11</vt:lpstr>
      <vt:lpstr>GMIC_22A_SCDPT4!SCDPT4_2509999998_12</vt:lpstr>
      <vt:lpstr>GMIC_22A_SCDPT4!SCDPT4_2509999998_13</vt:lpstr>
      <vt:lpstr>GMIC_22A_SCDPT4!SCDPT4_2509999998_14</vt:lpstr>
      <vt:lpstr>GMIC_22A_SCDPT4!SCDPT4_2509999998_15</vt:lpstr>
      <vt:lpstr>GMIC_22A_SCDPT4!SCDPT4_2509999998_16</vt:lpstr>
      <vt:lpstr>GMIC_22A_SCDPT4!SCDPT4_2509999998_17</vt:lpstr>
      <vt:lpstr>GMIC_22A_SCDPT4!SCDPT4_2509999998_18</vt:lpstr>
      <vt:lpstr>GMIC_22A_SCDPT4!SCDPT4_2509999998_19</vt:lpstr>
      <vt:lpstr>GMIC_22A_SCDPT4!SCDPT4_2509999998_20</vt:lpstr>
      <vt:lpstr>GMIC_22A_SCDPT4!SCDPT4_2509999998_7</vt:lpstr>
      <vt:lpstr>GMIC_22A_SCDPT4!SCDPT4_2509999998_8</vt:lpstr>
      <vt:lpstr>GMIC_22A_SCDPT4!SCDPT4_2509999998_9</vt:lpstr>
      <vt:lpstr>GMIC_22A_SCDPT4!SCDPT4_2509999999_10</vt:lpstr>
      <vt:lpstr>GMIC_22A_SCDPT4!SCDPT4_2509999999_11</vt:lpstr>
      <vt:lpstr>GMIC_22A_SCDPT4!SCDPT4_2509999999_12</vt:lpstr>
      <vt:lpstr>GMIC_22A_SCDPT4!SCDPT4_2509999999_13</vt:lpstr>
      <vt:lpstr>GMIC_22A_SCDPT4!SCDPT4_2509999999_14</vt:lpstr>
      <vt:lpstr>GMIC_22A_SCDPT4!SCDPT4_2509999999_15</vt:lpstr>
      <vt:lpstr>GMIC_22A_SCDPT4!SCDPT4_2509999999_16</vt:lpstr>
      <vt:lpstr>GMIC_22A_SCDPT4!SCDPT4_2509999999_17</vt:lpstr>
      <vt:lpstr>GMIC_22A_SCDPT4!SCDPT4_2509999999_18</vt:lpstr>
      <vt:lpstr>GMIC_22A_SCDPT4!SCDPT4_2509999999_19</vt:lpstr>
      <vt:lpstr>GMIC_22A_SCDPT4!SCDPT4_2509999999_20</vt:lpstr>
      <vt:lpstr>GMIC_22A_SCDPT4!SCDPT4_2509999999_7</vt:lpstr>
      <vt:lpstr>GMIC_22A_SCDPT4!SCDPT4_2509999999_8</vt:lpstr>
      <vt:lpstr>GMIC_22A_SCDPT4!SCDPT4_2509999999_9</vt:lpstr>
      <vt:lpstr>GMIC_22A_SCDPT4!SCDPT4_4010000000_Range</vt:lpstr>
      <vt:lpstr>GMIC_22A_SCDPT4!SCDPT4_4019999999_10</vt:lpstr>
      <vt:lpstr>GMIC_22A_SCDPT4!SCDPT4_4019999999_11</vt:lpstr>
      <vt:lpstr>GMIC_22A_SCDPT4!SCDPT4_4019999999_12</vt:lpstr>
      <vt:lpstr>GMIC_22A_SCDPT4!SCDPT4_4019999999_13</vt:lpstr>
      <vt:lpstr>GMIC_22A_SCDPT4!SCDPT4_4019999999_14</vt:lpstr>
      <vt:lpstr>GMIC_22A_SCDPT4!SCDPT4_4019999999_15</vt:lpstr>
      <vt:lpstr>GMIC_22A_SCDPT4!SCDPT4_4019999999_16</vt:lpstr>
      <vt:lpstr>GMIC_22A_SCDPT4!SCDPT4_4019999999_17</vt:lpstr>
      <vt:lpstr>GMIC_22A_SCDPT4!SCDPT4_4019999999_18</vt:lpstr>
      <vt:lpstr>GMIC_22A_SCDPT4!SCDPT4_4019999999_19</vt:lpstr>
      <vt:lpstr>GMIC_22A_SCDPT4!SCDPT4_4019999999_20</vt:lpstr>
      <vt:lpstr>GMIC_22A_SCDPT4!SCDPT4_4019999999_7</vt:lpstr>
      <vt:lpstr>GMIC_22A_SCDPT4!SCDPT4_4019999999_9</vt:lpstr>
      <vt:lpstr>GMIC_22A_SCDPT4!SCDPT4_401BEGINNG_1</vt:lpstr>
      <vt:lpstr>GMIC_22A_SCDPT4!SCDPT4_401BEGINNG_10</vt:lpstr>
      <vt:lpstr>GMIC_22A_SCDPT4!SCDPT4_401BEGINNG_11</vt:lpstr>
      <vt:lpstr>GMIC_22A_SCDPT4!SCDPT4_401BEGINNG_12</vt:lpstr>
      <vt:lpstr>GMIC_22A_SCDPT4!SCDPT4_401BEGINNG_13</vt:lpstr>
      <vt:lpstr>GMIC_22A_SCDPT4!SCDPT4_401BEGINNG_14</vt:lpstr>
      <vt:lpstr>GMIC_22A_SCDPT4!SCDPT4_401BEGINNG_15</vt:lpstr>
      <vt:lpstr>GMIC_22A_SCDPT4!SCDPT4_401BEGINNG_16</vt:lpstr>
      <vt:lpstr>GMIC_22A_SCDPT4!SCDPT4_401BEGINNG_17</vt:lpstr>
      <vt:lpstr>GMIC_22A_SCDPT4!SCDPT4_401BEGINNG_18</vt:lpstr>
      <vt:lpstr>GMIC_22A_SCDPT4!SCDPT4_401BEGINNG_19</vt:lpstr>
      <vt:lpstr>GMIC_22A_SCDPT4!SCDPT4_401BEGINNG_2</vt:lpstr>
      <vt:lpstr>GMIC_22A_SCDPT4!SCDPT4_401BEGINNG_20</vt:lpstr>
      <vt:lpstr>GMIC_22A_SCDPT4!SCDPT4_401BEGINNG_21</vt:lpstr>
      <vt:lpstr>GMIC_22A_SCDPT4!SCDPT4_401BEGINNG_22</vt:lpstr>
      <vt:lpstr>GMIC_22A_SCDPT4!SCDPT4_401BEGINNG_23</vt:lpstr>
      <vt:lpstr>GMIC_22A_SCDPT4!SCDPT4_401BEGINNG_24</vt:lpstr>
      <vt:lpstr>GMIC_22A_SCDPT4!SCDPT4_401BEGINNG_25</vt:lpstr>
      <vt:lpstr>GMIC_22A_SCDPT4!SCDPT4_401BEGINNG_26</vt:lpstr>
      <vt:lpstr>GMIC_22A_SCDPT4!SCDPT4_401BEGINNG_27</vt:lpstr>
      <vt:lpstr>GMIC_22A_SCDPT4!SCDPT4_401BEGINNG_3</vt:lpstr>
      <vt:lpstr>GMIC_22A_SCDPT4!SCDPT4_401BEGINNG_4</vt:lpstr>
      <vt:lpstr>GMIC_22A_SCDPT4!SCDPT4_401BEGINNG_5</vt:lpstr>
      <vt:lpstr>GMIC_22A_SCDPT4!SCDPT4_401BEGINNG_6</vt:lpstr>
      <vt:lpstr>GMIC_22A_SCDPT4!SCDPT4_401BEGINNG_7</vt:lpstr>
      <vt:lpstr>GMIC_22A_SCDPT4!SCDPT4_401BEGINNG_8</vt:lpstr>
      <vt:lpstr>GMIC_22A_SCDPT4!SCDPT4_401BEGINNG_9</vt:lpstr>
      <vt:lpstr>GMIC_22A_SCDPT4!SCDPT4_401ENDINGG_10</vt:lpstr>
      <vt:lpstr>GMIC_22A_SCDPT4!SCDPT4_401ENDINGG_11</vt:lpstr>
      <vt:lpstr>GMIC_22A_SCDPT4!SCDPT4_401ENDINGG_12</vt:lpstr>
      <vt:lpstr>GMIC_22A_SCDPT4!SCDPT4_401ENDINGG_13</vt:lpstr>
      <vt:lpstr>GMIC_22A_SCDPT4!SCDPT4_401ENDINGG_14</vt:lpstr>
      <vt:lpstr>GMIC_22A_SCDPT4!SCDPT4_401ENDINGG_15</vt:lpstr>
      <vt:lpstr>GMIC_22A_SCDPT4!SCDPT4_401ENDINGG_16</vt:lpstr>
      <vt:lpstr>GMIC_22A_SCDPT4!SCDPT4_401ENDINGG_17</vt:lpstr>
      <vt:lpstr>GMIC_22A_SCDPT4!SCDPT4_401ENDINGG_18</vt:lpstr>
      <vt:lpstr>GMIC_22A_SCDPT4!SCDPT4_401ENDINGG_19</vt:lpstr>
      <vt:lpstr>GMIC_22A_SCDPT4!SCDPT4_401ENDINGG_2</vt:lpstr>
      <vt:lpstr>GMIC_22A_SCDPT4!SCDPT4_401ENDINGG_20</vt:lpstr>
      <vt:lpstr>GMIC_22A_SCDPT4!SCDPT4_401ENDINGG_21</vt:lpstr>
      <vt:lpstr>GMIC_22A_SCDPT4!SCDPT4_401ENDINGG_22</vt:lpstr>
      <vt:lpstr>GMIC_22A_SCDPT4!SCDPT4_401ENDINGG_23</vt:lpstr>
      <vt:lpstr>GMIC_22A_SCDPT4!SCDPT4_401ENDINGG_24</vt:lpstr>
      <vt:lpstr>GMIC_22A_SCDPT4!SCDPT4_401ENDINGG_25</vt:lpstr>
      <vt:lpstr>GMIC_22A_SCDPT4!SCDPT4_401ENDINGG_26</vt:lpstr>
      <vt:lpstr>GMIC_22A_SCDPT4!SCDPT4_401ENDINGG_27</vt:lpstr>
      <vt:lpstr>GMIC_22A_SCDPT4!SCDPT4_401ENDINGG_3</vt:lpstr>
      <vt:lpstr>GMIC_22A_SCDPT4!SCDPT4_401ENDINGG_4</vt:lpstr>
      <vt:lpstr>GMIC_22A_SCDPT4!SCDPT4_401ENDINGG_5</vt:lpstr>
      <vt:lpstr>GMIC_22A_SCDPT4!SCDPT4_401ENDINGG_6</vt:lpstr>
      <vt:lpstr>GMIC_22A_SCDPT4!SCDPT4_401ENDINGG_7</vt:lpstr>
      <vt:lpstr>GMIC_22A_SCDPT4!SCDPT4_401ENDINGG_8</vt:lpstr>
      <vt:lpstr>GMIC_22A_SCDPT4!SCDPT4_401ENDINGG_9</vt:lpstr>
      <vt:lpstr>GMIC_22A_SCDPT4!SCDPT4_4020000000_Range</vt:lpstr>
      <vt:lpstr>GMIC_22A_SCDPT4!SCDPT4_4029999999_10</vt:lpstr>
      <vt:lpstr>GMIC_22A_SCDPT4!SCDPT4_4029999999_11</vt:lpstr>
      <vt:lpstr>GMIC_22A_SCDPT4!SCDPT4_4029999999_12</vt:lpstr>
      <vt:lpstr>GMIC_22A_SCDPT4!SCDPT4_4029999999_13</vt:lpstr>
      <vt:lpstr>GMIC_22A_SCDPT4!SCDPT4_4029999999_14</vt:lpstr>
      <vt:lpstr>GMIC_22A_SCDPT4!SCDPT4_4029999999_15</vt:lpstr>
      <vt:lpstr>GMIC_22A_SCDPT4!SCDPT4_4029999999_16</vt:lpstr>
      <vt:lpstr>GMIC_22A_SCDPT4!SCDPT4_4029999999_17</vt:lpstr>
      <vt:lpstr>GMIC_22A_SCDPT4!SCDPT4_4029999999_18</vt:lpstr>
      <vt:lpstr>GMIC_22A_SCDPT4!SCDPT4_4029999999_19</vt:lpstr>
      <vt:lpstr>GMIC_22A_SCDPT4!SCDPT4_4029999999_20</vt:lpstr>
      <vt:lpstr>GMIC_22A_SCDPT4!SCDPT4_4029999999_7</vt:lpstr>
      <vt:lpstr>GMIC_22A_SCDPT4!SCDPT4_4029999999_9</vt:lpstr>
      <vt:lpstr>GMIC_22A_SCDPT4!SCDPT4_402BEGINNG_1</vt:lpstr>
      <vt:lpstr>GMIC_22A_SCDPT4!SCDPT4_402BEGINNG_10</vt:lpstr>
      <vt:lpstr>GMIC_22A_SCDPT4!SCDPT4_402BEGINNG_11</vt:lpstr>
      <vt:lpstr>GMIC_22A_SCDPT4!SCDPT4_402BEGINNG_12</vt:lpstr>
      <vt:lpstr>GMIC_22A_SCDPT4!SCDPT4_402BEGINNG_13</vt:lpstr>
      <vt:lpstr>GMIC_22A_SCDPT4!SCDPT4_402BEGINNG_14</vt:lpstr>
      <vt:lpstr>GMIC_22A_SCDPT4!SCDPT4_402BEGINNG_15</vt:lpstr>
      <vt:lpstr>GMIC_22A_SCDPT4!SCDPT4_402BEGINNG_16</vt:lpstr>
      <vt:lpstr>GMIC_22A_SCDPT4!SCDPT4_402BEGINNG_17</vt:lpstr>
      <vt:lpstr>GMIC_22A_SCDPT4!SCDPT4_402BEGINNG_18</vt:lpstr>
      <vt:lpstr>GMIC_22A_SCDPT4!SCDPT4_402BEGINNG_19</vt:lpstr>
      <vt:lpstr>GMIC_22A_SCDPT4!SCDPT4_402BEGINNG_2</vt:lpstr>
      <vt:lpstr>GMIC_22A_SCDPT4!SCDPT4_402BEGINNG_20</vt:lpstr>
      <vt:lpstr>GMIC_22A_SCDPT4!SCDPT4_402BEGINNG_21</vt:lpstr>
      <vt:lpstr>GMIC_22A_SCDPT4!SCDPT4_402BEGINNG_22</vt:lpstr>
      <vt:lpstr>GMIC_22A_SCDPT4!SCDPT4_402BEGINNG_23</vt:lpstr>
      <vt:lpstr>GMIC_22A_SCDPT4!SCDPT4_402BEGINNG_24</vt:lpstr>
      <vt:lpstr>GMIC_22A_SCDPT4!SCDPT4_402BEGINNG_25</vt:lpstr>
      <vt:lpstr>GMIC_22A_SCDPT4!SCDPT4_402BEGINNG_26</vt:lpstr>
      <vt:lpstr>GMIC_22A_SCDPT4!SCDPT4_402BEGINNG_27</vt:lpstr>
      <vt:lpstr>GMIC_22A_SCDPT4!SCDPT4_402BEGINNG_3</vt:lpstr>
      <vt:lpstr>GMIC_22A_SCDPT4!SCDPT4_402BEGINNG_4</vt:lpstr>
      <vt:lpstr>GMIC_22A_SCDPT4!SCDPT4_402BEGINNG_5</vt:lpstr>
      <vt:lpstr>GMIC_22A_SCDPT4!SCDPT4_402BEGINNG_6</vt:lpstr>
      <vt:lpstr>GMIC_22A_SCDPT4!SCDPT4_402BEGINNG_7</vt:lpstr>
      <vt:lpstr>GMIC_22A_SCDPT4!SCDPT4_402BEGINNG_8</vt:lpstr>
      <vt:lpstr>GMIC_22A_SCDPT4!SCDPT4_402BEGINNG_9</vt:lpstr>
      <vt:lpstr>GMIC_22A_SCDPT4!SCDPT4_402ENDINGG_10</vt:lpstr>
      <vt:lpstr>GMIC_22A_SCDPT4!SCDPT4_402ENDINGG_11</vt:lpstr>
      <vt:lpstr>GMIC_22A_SCDPT4!SCDPT4_402ENDINGG_12</vt:lpstr>
      <vt:lpstr>GMIC_22A_SCDPT4!SCDPT4_402ENDINGG_13</vt:lpstr>
      <vt:lpstr>GMIC_22A_SCDPT4!SCDPT4_402ENDINGG_14</vt:lpstr>
      <vt:lpstr>GMIC_22A_SCDPT4!SCDPT4_402ENDINGG_15</vt:lpstr>
      <vt:lpstr>GMIC_22A_SCDPT4!SCDPT4_402ENDINGG_16</vt:lpstr>
      <vt:lpstr>GMIC_22A_SCDPT4!SCDPT4_402ENDINGG_17</vt:lpstr>
      <vt:lpstr>GMIC_22A_SCDPT4!SCDPT4_402ENDINGG_18</vt:lpstr>
      <vt:lpstr>GMIC_22A_SCDPT4!SCDPT4_402ENDINGG_19</vt:lpstr>
      <vt:lpstr>GMIC_22A_SCDPT4!SCDPT4_402ENDINGG_2</vt:lpstr>
      <vt:lpstr>GMIC_22A_SCDPT4!SCDPT4_402ENDINGG_20</vt:lpstr>
      <vt:lpstr>GMIC_22A_SCDPT4!SCDPT4_402ENDINGG_21</vt:lpstr>
      <vt:lpstr>GMIC_22A_SCDPT4!SCDPT4_402ENDINGG_22</vt:lpstr>
      <vt:lpstr>GMIC_22A_SCDPT4!SCDPT4_402ENDINGG_23</vt:lpstr>
      <vt:lpstr>GMIC_22A_SCDPT4!SCDPT4_402ENDINGG_24</vt:lpstr>
      <vt:lpstr>GMIC_22A_SCDPT4!SCDPT4_402ENDINGG_25</vt:lpstr>
      <vt:lpstr>GMIC_22A_SCDPT4!SCDPT4_402ENDINGG_26</vt:lpstr>
      <vt:lpstr>GMIC_22A_SCDPT4!SCDPT4_402ENDINGG_27</vt:lpstr>
      <vt:lpstr>GMIC_22A_SCDPT4!SCDPT4_402ENDINGG_3</vt:lpstr>
      <vt:lpstr>GMIC_22A_SCDPT4!SCDPT4_402ENDINGG_4</vt:lpstr>
      <vt:lpstr>GMIC_22A_SCDPT4!SCDPT4_402ENDINGG_5</vt:lpstr>
      <vt:lpstr>GMIC_22A_SCDPT4!SCDPT4_402ENDINGG_6</vt:lpstr>
      <vt:lpstr>GMIC_22A_SCDPT4!SCDPT4_402ENDINGG_7</vt:lpstr>
      <vt:lpstr>GMIC_22A_SCDPT4!SCDPT4_402ENDINGG_8</vt:lpstr>
      <vt:lpstr>GMIC_22A_SCDPT4!SCDPT4_402ENDINGG_9</vt:lpstr>
      <vt:lpstr>GMIC_22A_SCDPT4!SCDPT4_4310000000_Range</vt:lpstr>
      <vt:lpstr>GMIC_22A_SCDPT4!SCDPT4_4319999999_10</vt:lpstr>
      <vt:lpstr>GMIC_22A_SCDPT4!SCDPT4_4319999999_11</vt:lpstr>
      <vt:lpstr>GMIC_22A_SCDPT4!SCDPT4_4319999999_12</vt:lpstr>
      <vt:lpstr>GMIC_22A_SCDPT4!SCDPT4_4319999999_13</vt:lpstr>
      <vt:lpstr>GMIC_22A_SCDPT4!SCDPT4_4319999999_14</vt:lpstr>
      <vt:lpstr>GMIC_22A_SCDPT4!SCDPT4_4319999999_15</vt:lpstr>
      <vt:lpstr>GMIC_22A_SCDPT4!SCDPT4_4319999999_16</vt:lpstr>
      <vt:lpstr>GMIC_22A_SCDPT4!SCDPT4_4319999999_17</vt:lpstr>
      <vt:lpstr>GMIC_22A_SCDPT4!SCDPT4_4319999999_18</vt:lpstr>
      <vt:lpstr>GMIC_22A_SCDPT4!SCDPT4_4319999999_19</vt:lpstr>
      <vt:lpstr>GMIC_22A_SCDPT4!SCDPT4_4319999999_20</vt:lpstr>
      <vt:lpstr>GMIC_22A_SCDPT4!SCDPT4_4319999999_7</vt:lpstr>
      <vt:lpstr>GMIC_22A_SCDPT4!SCDPT4_4319999999_9</vt:lpstr>
      <vt:lpstr>GMIC_22A_SCDPT4!SCDPT4_431BEGINNG_1</vt:lpstr>
      <vt:lpstr>GMIC_22A_SCDPT4!SCDPT4_431BEGINNG_10</vt:lpstr>
      <vt:lpstr>GMIC_22A_SCDPT4!SCDPT4_431BEGINNG_11</vt:lpstr>
      <vt:lpstr>GMIC_22A_SCDPT4!SCDPT4_431BEGINNG_12</vt:lpstr>
      <vt:lpstr>GMIC_22A_SCDPT4!SCDPT4_431BEGINNG_13</vt:lpstr>
      <vt:lpstr>GMIC_22A_SCDPT4!SCDPT4_431BEGINNG_14</vt:lpstr>
      <vt:lpstr>GMIC_22A_SCDPT4!SCDPT4_431BEGINNG_15</vt:lpstr>
      <vt:lpstr>GMIC_22A_SCDPT4!SCDPT4_431BEGINNG_16</vt:lpstr>
      <vt:lpstr>GMIC_22A_SCDPT4!SCDPT4_431BEGINNG_17</vt:lpstr>
      <vt:lpstr>GMIC_22A_SCDPT4!SCDPT4_431BEGINNG_18</vt:lpstr>
      <vt:lpstr>GMIC_22A_SCDPT4!SCDPT4_431BEGINNG_19</vt:lpstr>
      <vt:lpstr>GMIC_22A_SCDPT4!SCDPT4_431BEGINNG_2</vt:lpstr>
      <vt:lpstr>GMIC_22A_SCDPT4!SCDPT4_431BEGINNG_20</vt:lpstr>
      <vt:lpstr>GMIC_22A_SCDPT4!SCDPT4_431BEGINNG_21</vt:lpstr>
      <vt:lpstr>GMIC_22A_SCDPT4!SCDPT4_431BEGINNG_22</vt:lpstr>
      <vt:lpstr>GMIC_22A_SCDPT4!SCDPT4_431BEGINNG_23</vt:lpstr>
      <vt:lpstr>GMIC_22A_SCDPT4!SCDPT4_431BEGINNG_24</vt:lpstr>
      <vt:lpstr>GMIC_22A_SCDPT4!SCDPT4_431BEGINNG_25</vt:lpstr>
      <vt:lpstr>GMIC_22A_SCDPT4!SCDPT4_431BEGINNG_26</vt:lpstr>
      <vt:lpstr>GMIC_22A_SCDPT4!SCDPT4_431BEGINNG_27</vt:lpstr>
      <vt:lpstr>GMIC_22A_SCDPT4!SCDPT4_431BEGINNG_3</vt:lpstr>
      <vt:lpstr>GMIC_22A_SCDPT4!SCDPT4_431BEGINNG_4</vt:lpstr>
      <vt:lpstr>GMIC_22A_SCDPT4!SCDPT4_431BEGINNG_5</vt:lpstr>
      <vt:lpstr>GMIC_22A_SCDPT4!SCDPT4_431BEGINNG_6</vt:lpstr>
      <vt:lpstr>GMIC_22A_SCDPT4!SCDPT4_431BEGINNG_7</vt:lpstr>
      <vt:lpstr>GMIC_22A_SCDPT4!SCDPT4_431BEGINNG_8</vt:lpstr>
      <vt:lpstr>GMIC_22A_SCDPT4!SCDPT4_431BEGINNG_9</vt:lpstr>
      <vt:lpstr>GMIC_22A_SCDPT4!SCDPT4_431ENDINGG_10</vt:lpstr>
      <vt:lpstr>GMIC_22A_SCDPT4!SCDPT4_431ENDINGG_11</vt:lpstr>
      <vt:lpstr>GMIC_22A_SCDPT4!SCDPT4_431ENDINGG_12</vt:lpstr>
      <vt:lpstr>GMIC_22A_SCDPT4!SCDPT4_431ENDINGG_13</vt:lpstr>
      <vt:lpstr>GMIC_22A_SCDPT4!SCDPT4_431ENDINGG_14</vt:lpstr>
      <vt:lpstr>GMIC_22A_SCDPT4!SCDPT4_431ENDINGG_15</vt:lpstr>
      <vt:lpstr>GMIC_22A_SCDPT4!SCDPT4_431ENDINGG_16</vt:lpstr>
      <vt:lpstr>GMIC_22A_SCDPT4!SCDPT4_431ENDINGG_17</vt:lpstr>
      <vt:lpstr>GMIC_22A_SCDPT4!SCDPT4_431ENDINGG_18</vt:lpstr>
      <vt:lpstr>GMIC_22A_SCDPT4!SCDPT4_431ENDINGG_19</vt:lpstr>
      <vt:lpstr>GMIC_22A_SCDPT4!SCDPT4_431ENDINGG_2</vt:lpstr>
      <vt:lpstr>GMIC_22A_SCDPT4!SCDPT4_431ENDINGG_20</vt:lpstr>
      <vt:lpstr>GMIC_22A_SCDPT4!SCDPT4_431ENDINGG_21</vt:lpstr>
      <vt:lpstr>GMIC_22A_SCDPT4!SCDPT4_431ENDINGG_22</vt:lpstr>
      <vt:lpstr>GMIC_22A_SCDPT4!SCDPT4_431ENDINGG_23</vt:lpstr>
      <vt:lpstr>GMIC_22A_SCDPT4!SCDPT4_431ENDINGG_24</vt:lpstr>
      <vt:lpstr>GMIC_22A_SCDPT4!SCDPT4_431ENDINGG_25</vt:lpstr>
      <vt:lpstr>GMIC_22A_SCDPT4!SCDPT4_431ENDINGG_26</vt:lpstr>
      <vt:lpstr>GMIC_22A_SCDPT4!SCDPT4_431ENDINGG_27</vt:lpstr>
      <vt:lpstr>GMIC_22A_SCDPT4!SCDPT4_431ENDINGG_3</vt:lpstr>
      <vt:lpstr>GMIC_22A_SCDPT4!SCDPT4_431ENDINGG_4</vt:lpstr>
      <vt:lpstr>GMIC_22A_SCDPT4!SCDPT4_431ENDINGG_5</vt:lpstr>
      <vt:lpstr>GMIC_22A_SCDPT4!SCDPT4_431ENDINGG_6</vt:lpstr>
      <vt:lpstr>GMIC_22A_SCDPT4!SCDPT4_431ENDINGG_7</vt:lpstr>
      <vt:lpstr>GMIC_22A_SCDPT4!SCDPT4_431ENDINGG_8</vt:lpstr>
      <vt:lpstr>GMIC_22A_SCDPT4!SCDPT4_431ENDINGG_9</vt:lpstr>
      <vt:lpstr>GMIC_22A_SCDPT4!SCDPT4_4320000000_Range</vt:lpstr>
      <vt:lpstr>GMIC_22A_SCDPT4!SCDPT4_4329999999_10</vt:lpstr>
      <vt:lpstr>GMIC_22A_SCDPT4!SCDPT4_4329999999_11</vt:lpstr>
      <vt:lpstr>GMIC_22A_SCDPT4!SCDPT4_4329999999_12</vt:lpstr>
      <vt:lpstr>GMIC_22A_SCDPT4!SCDPT4_4329999999_13</vt:lpstr>
      <vt:lpstr>GMIC_22A_SCDPT4!SCDPT4_4329999999_14</vt:lpstr>
      <vt:lpstr>GMIC_22A_SCDPT4!SCDPT4_4329999999_15</vt:lpstr>
      <vt:lpstr>GMIC_22A_SCDPT4!SCDPT4_4329999999_16</vt:lpstr>
      <vt:lpstr>GMIC_22A_SCDPT4!SCDPT4_4329999999_17</vt:lpstr>
      <vt:lpstr>GMIC_22A_SCDPT4!SCDPT4_4329999999_18</vt:lpstr>
      <vt:lpstr>GMIC_22A_SCDPT4!SCDPT4_4329999999_19</vt:lpstr>
      <vt:lpstr>GMIC_22A_SCDPT4!SCDPT4_4329999999_20</vt:lpstr>
      <vt:lpstr>GMIC_22A_SCDPT4!SCDPT4_4329999999_7</vt:lpstr>
      <vt:lpstr>GMIC_22A_SCDPT4!SCDPT4_4329999999_9</vt:lpstr>
      <vt:lpstr>GMIC_22A_SCDPT4!SCDPT4_432BEGINNG_1</vt:lpstr>
      <vt:lpstr>GMIC_22A_SCDPT4!SCDPT4_432BEGINNG_10</vt:lpstr>
      <vt:lpstr>GMIC_22A_SCDPT4!SCDPT4_432BEGINNG_11</vt:lpstr>
      <vt:lpstr>GMIC_22A_SCDPT4!SCDPT4_432BEGINNG_12</vt:lpstr>
      <vt:lpstr>GMIC_22A_SCDPT4!SCDPT4_432BEGINNG_13</vt:lpstr>
      <vt:lpstr>GMIC_22A_SCDPT4!SCDPT4_432BEGINNG_14</vt:lpstr>
      <vt:lpstr>GMIC_22A_SCDPT4!SCDPT4_432BEGINNG_15</vt:lpstr>
      <vt:lpstr>GMIC_22A_SCDPT4!SCDPT4_432BEGINNG_16</vt:lpstr>
      <vt:lpstr>GMIC_22A_SCDPT4!SCDPT4_432BEGINNG_17</vt:lpstr>
      <vt:lpstr>GMIC_22A_SCDPT4!SCDPT4_432BEGINNG_18</vt:lpstr>
      <vt:lpstr>GMIC_22A_SCDPT4!SCDPT4_432BEGINNG_19</vt:lpstr>
      <vt:lpstr>GMIC_22A_SCDPT4!SCDPT4_432BEGINNG_2</vt:lpstr>
      <vt:lpstr>GMIC_22A_SCDPT4!SCDPT4_432BEGINNG_20</vt:lpstr>
      <vt:lpstr>GMIC_22A_SCDPT4!SCDPT4_432BEGINNG_21</vt:lpstr>
      <vt:lpstr>GMIC_22A_SCDPT4!SCDPT4_432BEGINNG_22</vt:lpstr>
      <vt:lpstr>GMIC_22A_SCDPT4!SCDPT4_432BEGINNG_23</vt:lpstr>
      <vt:lpstr>GMIC_22A_SCDPT4!SCDPT4_432BEGINNG_24</vt:lpstr>
      <vt:lpstr>GMIC_22A_SCDPT4!SCDPT4_432BEGINNG_25</vt:lpstr>
      <vt:lpstr>GMIC_22A_SCDPT4!SCDPT4_432BEGINNG_26</vt:lpstr>
      <vt:lpstr>GMIC_22A_SCDPT4!SCDPT4_432BEGINNG_27</vt:lpstr>
      <vt:lpstr>GMIC_22A_SCDPT4!SCDPT4_432BEGINNG_3</vt:lpstr>
      <vt:lpstr>GMIC_22A_SCDPT4!SCDPT4_432BEGINNG_4</vt:lpstr>
      <vt:lpstr>GMIC_22A_SCDPT4!SCDPT4_432BEGINNG_5</vt:lpstr>
      <vt:lpstr>GMIC_22A_SCDPT4!SCDPT4_432BEGINNG_6</vt:lpstr>
      <vt:lpstr>GMIC_22A_SCDPT4!SCDPT4_432BEGINNG_7</vt:lpstr>
      <vt:lpstr>GMIC_22A_SCDPT4!SCDPT4_432BEGINNG_8</vt:lpstr>
      <vt:lpstr>GMIC_22A_SCDPT4!SCDPT4_432BEGINNG_9</vt:lpstr>
      <vt:lpstr>GMIC_22A_SCDPT4!SCDPT4_432ENDINGG_10</vt:lpstr>
      <vt:lpstr>GMIC_22A_SCDPT4!SCDPT4_432ENDINGG_11</vt:lpstr>
      <vt:lpstr>GMIC_22A_SCDPT4!SCDPT4_432ENDINGG_12</vt:lpstr>
      <vt:lpstr>GMIC_22A_SCDPT4!SCDPT4_432ENDINGG_13</vt:lpstr>
      <vt:lpstr>GMIC_22A_SCDPT4!SCDPT4_432ENDINGG_14</vt:lpstr>
      <vt:lpstr>GMIC_22A_SCDPT4!SCDPT4_432ENDINGG_15</vt:lpstr>
      <vt:lpstr>GMIC_22A_SCDPT4!SCDPT4_432ENDINGG_16</vt:lpstr>
      <vt:lpstr>GMIC_22A_SCDPT4!SCDPT4_432ENDINGG_17</vt:lpstr>
      <vt:lpstr>GMIC_22A_SCDPT4!SCDPT4_432ENDINGG_18</vt:lpstr>
      <vt:lpstr>GMIC_22A_SCDPT4!SCDPT4_432ENDINGG_19</vt:lpstr>
      <vt:lpstr>GMIC_22A_SCDPT4!SCDPT4_432ENDINGG_2</vt:lpstr>
      <vt:lpstr>GMIC_22A_SCDPT4!SCDPT4_432ENDINGG_20</vt:lpstr>
      <vt:lpstr>GMIC_22A_SCDPT4!SCDPT4_432ENDINGG_21</vt:lpstr>
      <vt:lpstr>GMIC_22A_SCDPT4!SCDPT4_432ENDINGG_22</vt:lpstr>
      <vt:lpstr>GMIC_22A_SCDPT4!SCDPT4_432ENDINGG_23</vt:lpstr>
      <vt:lpstr>GMIC_22A_SCDPT4!SCDPT4_432ENDINGG_24</vt:lpstr>
      <vt:lpstr>GMIC_22A_SCDPT4!SCDPT4_432ENDINGG_25</vt:lpstr>
      <vt:lpstr>GMIC_22A_SCDPT4!SCDPT4_432ENDINGG_26</vt:lpstr>
      <vt:lpstr>GMIC_22A_SCDPT4!SCDPT4_432ENDINGG_27</vt:lpstr>
      <vt:lpstr>GMIC_22A_SCDPT4!SCDPT4_432ENDINGG_3</vt:lpstr>
      <vt:lpstr>GMIC_22A_SCDPT4!SCDPT4_432ENDINGG_4</vt:lpstr>
      <vt:lpstr>GMIC_22A_SCDPT4!SCDPT4_432ENDINGG_5</vt:lpstr>
      <vt:lpstr>GMIC_22A_SCDPT4!SCDPT4_432ENDINGG_6</vt:lpstr>
      <vt:lpstr>GMIC_22A_SCDPT4!SCDPT4_432ENDINGG_7</vt:lpstr>
      <vt:lpstr>GMIC_22A_SCDPT4!SCDPT4_432ENDINGG_8</vt:lpstr>
      <vt:lpstr>GMIC_22A_SCDPT4!SCDPT4_432ENDINGG_9</vt:lpstr>
      <vt:lpstr>GMIC_22A_SCDPT4!SCDPT4_4509999997_10</vt:lpstr>
      <vt:lpstr>GMIC_22A_SCDPT4!SCDPT4_4509999997_11</vt:lpstr>
      <vt:lpstr>GMIC_22A_SCDPT4!SCDPT4_4509999997_12</vt:lpstr>
      <vt:lpstr>GMIC_22A_SCDPT4!SCDPT4_4509999997_13</vt:lpstr>
      <vt:lpstr>GMIC_22A_SCDPT4!SCDPT4_4509999997_14</vt:lpstr>
      <vt:lpstr>GMIC_22A_SCDPT4!SCDPT4_4509999997_15</vt:lpstr>
      <vt:lpstr>GMIC_22A_SCDPT4!SCDPT4_4509999997_16</vt:lpstr>
      <vt:lpstr>GMIC_22A_SCDPT4!SCDPT4_4509999997_17</vt:lpstr>
      <vt:lpstr>GMIC_22A_SCDPT4!SCDPT4_4509999997_18</vt:lpstr>
      <vt:lpstr>GMIC_22A_SCDPT4!SCDPT4_4509999997_19</vt:lpstr>
      <vt:lpstr>GMIC_22A_SCDPT4!SCDPT4_4509999997_20</vt:lpstr>
      <vt:lpstr>GMIC_22A_SCDPT4!SCDPT4_4509999997_7</vt:lpstr>
      <vt:lpstr>GMIC_22A_SCDPT4!SCDPT4_4509999997_9</vt:lpstr>
      <vt:lpstr>GMIC_22A_SCDPT4!SCDPT4_4509999998_10</vt:lpstr>
      <vt:lpstr>GMIC_22A_SCDPT4!SCDPT4_4509999998_11</vt:lpstr>
      <vt:lpstr>GMIC_22A_SCDPT4!SCDPT4_4509999998_12</vt:lpstr>
      <vt:lpstr>GMIC_22A_SCDPT4!SCDPT4_4509999998_13</vt:lpstr>
      <vt:lpstr>GMIC_22A_SCDPT4!SCDPT4_4509999998_14</vt:lpstr>
      <vt:lpstr>GMIC_22A_SCDPT4!SCDPT4_4509999998_15</vt:lpstr>
      <vt:lpstr>GMIC_22A_SCDPT4!SCDPT4_4509999998_16</vt:lpstr>
      <vt:lpstr>GMIC_22A_SCDPT4!SCDPT4_4509999998_17</vt:lpstr>
      <vt:lpstr>GMIC_22A_SCDPT4!SCDPT4_4509999998_18</vt:lpstr>
      <vt:lpstr>GMIC_22A_SCDPT4!SCDPT4_4509999998_19</vt:lpstr>
      <vt:lpstr>GMIC_22A_SCDPT4!SCDPT4_4509999998_20</vt:lpstr>
      <vt:lpstr>GMIC_22A_SCDPT4!SCDPT4_4509999998_7</vt:lpstr>
      <vt:lpstr>GMIC_22A_SCDPT4!SCDPT4_4509999998_9</vt:lpstr>
      <vt:lpstr>GMIC_22A_SCDPT4!SCDPT4_4509999999_10</vt:lpstr>
      <vt:lpstr>GMIC_22A_SCDPT4!SCDPT4_4509999999_11</vt:lpstr>
      <vt:lpstr>GMIC_22A_SCDPT4!SCDPT4_4509999999_12</vt:lpstr>
      <vt:lpstr>GMIC_22A_SCDPT4!SCDPT4_4509999999_13</vt:lpstr>
      <vt:lpstr>GMIC_22A_SCDPT4!SCDPT4_4509999999_14</vt:lpstr>
      <vt:lpstr>GMIC_22A_SCDPT4!SCDPT4_4509999999_15</vt:lpstr>
      <vt:lpstr>GMIC_22A_SCDPT4!SCDPT4_4509999999_16</vt:lpstr>
      <vt:lpstr>GMIC_22A_SCDPT4!SCDPT4_4509999999_17</vt:lpstr>
      <vt:lpstr>GMIC_22A_SCDPT4!SCDPT4_4509999999_18</vt:lpstr>
      <vt:lpstr>GMIC_22A_SCDPT4!SCDPT4_4509999999_19</vt:lpstr>
      <vt:lpstr>GMIC_22A_SCDPT4!SCDPT4_4509999999_20</vt:lpstr>
      <vt:lpstr>GMIC_22A_SCDPT4!SCDPT4_4509999999_7</vt:lpstr>
      <vt:lpstr>GMIC_22A_SCDPT4!SCDPT4_4509999999_9</vt:lpstr>
      <vt:lpstr>GMIC_22A_SCDPT4!SCDPT4_5010000000_Range</vt:lpstr>
      <vt:lpstr>GMIC_22A_SCDPT4!SCDPT4_5019999999_10</vt:lpstr>
      <vt:lpstr>GMIC_22A_SCDPT4!SCDPT4_5019999999_11</vt:lpstr>
      <vt:lpstr>GMIC_22A_SCDPT4!SCDPT4_5019999999_12</vt:lpstr>
      <vt:lpstr>GMIC_22A_SCDPT4!SCDPT4_5019999999_13</vt:lpstr>
      <vt:lpstr>GMIC_22A_SCDPT4!SCDPT4_5019999999_14</vt:lpstr>
      <vt:lpstr>GMIC_22A_SCDPT4!SCDPT4_5019999999_15</vt:lpstr>
      <vt:lpstr>GMIC_22A_SCDPT4!SCDPT4_5019999999_16</vt:lpstr>
      <vt:lpstr>GMIC_22A_SCDPT4!SCDPT4_5019999999_17</vt:lpstr>
      <vt:lpstr>GMIC_22A_SCDPT4!SCDPT4_5019999999_18</vt:lpstr>
      <vt:lpstr>GMIC_22A_SCDPT4!SCDPT4_5019999999_19</vt:lpstr>
      <vt:lpstr>GMIC_22A_SCDPT4!SCDPT4_5019999999_20</vt:lpstr>
      <vt:lpstr>GMIC_22A_SCDPT4!SCDPT4_5019999999_7</vt:lpstr>
      <vt:lpstr>GMIC_22A_SCDPT4!SCDPT4_5019999999_9</vt:lpstr>
      <vt:lpstr>GMIC_22A_SCDPT4!SCDPT4_501BEGINNG_1</vt:lpstr>
      <vt:lpstr>GMIC_22A_SCDPT4!SCDPT4_501BEGINNG_10</vt:lpstr>
      <vt:lpstr>GMIC_22A_SCDPT4!SCDPT4_501BEGINNG_11</vt:lpstr>
      <vt:lpstr>GMIC_22A_SCDPT4!SCDPT4_501BEGINNG_12</vt:lpstr>
      <vt:lpstr>GMIC_22A_SCDPT4!SCDPT4_501BEGINNG_13</vt:lpstr>
      <vt:lpstr>GMIC_22A_SCDPT4!SCDPT4_501BEGINNG_14</vt:lpstr>
      <vt:lpstr>GMIC_22A_SCDPT4!SCDPT4_501BEGINNG_15</vt:lpstr>
      <vt:lpstr>GMIC_22A_SCDPT4!SCDPT4_501BEGINNG_16</vt:lpstr>
      <vt:lpstr>GMIC_22A_SCDPT4!SCDPT4_501BEGINNG_17</vt:lpstr>
      <vt:lpstr>GMIC_22A_SCDPT4!SCDPT4_501BEGINNG_18</vt:lpstr>
      <vt:lpstr>GMIC_22A_SCDPT4!SCDPT4_501BEGINNG_19</vt:lpstr>
      <vt:lpstr>GMIC_22A_SCDPT4!SCDPT4_501BEGINNG_2</vt:lpstr>
      <vt:lpstr>GMIC_22A_SCDPT4!SCDPT4_501BEGINNG_20</vt:lpstr>
      <vt:lpstr>GMIC_22A_SCDPT4!SCDPT4_501BEGINNG_21</vt:lpstr>
      <vt:lpstr>GMIC_22A_SCDPT4!SCDPT4_501BEGINNG_22</vt:lpstr>
      <vt:lpstr>GMIC_22A_SCDPT4!SCDPT4_501BEGINNG_23</vt:lpstr>
      <vt:lpstr>GMIC_22A_SCDPT4!SCDPT4_501BEGINNG_24</vt:lpstr>
      <vt:lpstr>GMIC_22A_SCDPT4!SCDPT4_501BEGINNG_25</vt:lpstr>
      <vt:lpstr>GMIC_22A_SCDPT4!SCDPT4_501BEGINNG_26</vt:lpstr>
      <vt:lpstr>GMIC_22A_SCDPT4!SCDPT4_501BEGINNG_27</vt:lpstr>
      <vt:lpstr>GMIC_22A_SCDPT4!SCDPT4_501BEGINNG_3</vt:lpstr>
      <vt:lpstr>GMIC_22A_SCDPT4!SCDPT4_501BEGINNG_4</vt:lpstr>
      <vt:lpstr>GMIC_22A_SCDPT4!SCDPT4_501BEGINNG_5</vt:lpstr>
      <vt:lpstr>GMIC_22A_SCDPT4!SCDPT4_501BEGINNG_6</vt:lpstr>
      <vt:lpstr>GMIC_22A_SCDPT4!SCDPT4_501BEGINNG_7</vt:lpstr>
      <vt:lpstr>GMIC_22A_SCDPT4!SCDPT4_501BEGINNG_8</vt:lpstr>
      <vt:lpstr>GMIC_22A_SCDPT4!SCDPT4_501BEGINNG_9</vt:lpstr>
      <vt:lpstr>GMIC_22A_SCDPT4!SCDPT4_501ENDINGG_10</vt:lpstr>
      <vt:lpstr>GMIC_22A_SCDPT4!SCDPT4_501ENDINGG_11</vt:lpstr>
      <vt:lpstr>GMIC_22A_SCDPT4!SCDPT4_501ENDINGG_12</vt:lpstr>
      <vt:lpstr>GMIC_22A_SCDPT4!SCDPT4_501ENDINGG_13</vt:lpstr>
      <vt:lpstr>GMIC_22A_SCDPT4!SCDPT4_501ENDINGG_14</vt:lpstr>
      <vt:lpstr>GMIC_22A_SCDPT4!SCDPT4_501ENDINGG_15</vt:lpstr>
      <vt:lpstr>GMIC_22A_SCDPT4!SCDPT4_501ENDINGG_16</vt:lpstr>
      <vt:lpstr>GMIC_22A_SCDPT4!SCDPT4_501ENDINGG_17</vt:lpstr>
      <vt:lpstr>GMIC_22A_SCDPT4!SCDPT4_501ENDINGG_18</vt:lpstr>
      <vt:lpstr>GMIC_22A_SCDPT4!SCDPT4_501ENDINGG_19</vt:lpstr>
      <vt:lpstr>GMIC_22A_SCDPT4!SCDPT4_501ENDINGG_2</vt:lpstr>
      <vt:lpstr>GMIC_22A_SCDPT4!SCDPT4_501ENDINGG_20</vt:lpstr>
      <vt:lpstr>GMIC_22A_SCDPT4!SCDPT4_501ENDINGG_21</vt:lpstr>
      <vt:lpstr>GMIC_22A_SCDPT4!SCDPT4_501ENDINGG_22</vt:lpstr>
      <vt:lpstr>GMIC_22A_SCDPT4!SCDPT4_501ENDINGG_23</vt:lpstr>
      <vt:lpstr>GMIC_22A_SCDPT4!SCDPT4_501ENDINGG_24</vt:lpstr>
      <vt:lpstr>GMIC_22A_SCDPT4!SCDPT4_501ENDINGG_25</vt:lpstr>
      <vt:lpstr>GMIC_22A_SCDPT4!SCDPT4_501ENDINGG_26</vt:lpstr>
      <vt:lpstr>GMIC_22A_SCDPT4!SCDPT4_501ENDINGG_27</vt:lpstr>
      <vt:lpstr>GMIC_22A_SCDPT4!SCDPT4_501ENDINGG_3</vt:lpstr>
      <vt:lpstr>GMIC_22A_SCDPT4!SCDPT4_501ENDINGG_4</vt:lpstr>
      <vt:lpstr>GMIC_22A_SCDPT4!SCDPT4_501ENDINGG_5</vt:lpstr>
      <vt:lpstr>GMIC_22A_SCDPT4!SCDPT4_501ENDINGG_6</vt:lpstr>
      <vt:lpstr>GMIC_22A_SCDPT4!SCDPT4_501ENDINGG_7</vt:lpstr>
      <vt:lpstr>GMIC_22A_SCDPT4!SCDPT4_501ENDINGG_8</vt:lpstr>
      <vt:lpstr>GMIC_22A_SCDPT4!SCDPT4_501ENDINGG_9</vt:lpstr>
      <vt:lpstr>GMIC_22A_SCDPT4!SCDPT4_5020000000_Range</vt:lpstr>
      <vt:lpstr>GMIC_22A_SCDPT4!SCDPT4_5029999999_10</vt:lpstr>
      <vt:lpstr>GMIC_22A_SCDPT4!SCDPT4_5029999999_11</vt:lpstr>
      <vt:lpstr>GMIC_22A_SCDPT4!SCDPT4_5029999999_12</vt:lpstr>
      <vt:lpstr>GMIC_22A_SCDPT4!SCDPT4_5029999999_13</vt:lpstr>
      <vt:lpstr>GMIC_22A_SCDPT4!SCDPT4_5029999999_14</vt:lpstr>
      <vt:lpstr>GMIC_22A_SCDPT4!SCDPT4_5029999999_15</vt:lpstr>
      <vt:lpstr>GMIC_22A_SCDPT4!SCDPT4_5029999999_16</vt:lpstr>
      <vt:lpstr>GMIC_22A_SCDPT4!SCDPT4_5029999999_17</vt:lpstr>
      <vt:lpstr>GMIC_22A_SCDPT4!SCDPT4_5029999999_18</vt:lpstr>
      <vt:lpstr>GMIC_22A_SCDPT4!SCDPT4_5029999999_19</vt:lpstr>
      <vt:lpstr>GMIC_22A_SCDPT4!SCDPT4_5029999999_20</vt:lpstr>
      <vt:lpstr>GMIC_22A_SCDPT4!SCDPT4_5029999999_7</vt:lpstr>
      <vt:lpstr>GMIC_22A_SCDPT4!SCDPT4_5029999999_9</vt:lpstr>
      <vt:lpstr>GMIC_22A_SCDPT4!SCDPT4_502BEGINNG_1</vt:lpstr>
      <vt:lpstr>GMIC_22A_SCDPT4!SCDPT4_502BEGINNG_10</vt:lpstr>
      <vt:lpstr>GMIC_22A_SCDPT4!SCDPT4_502BEGINNG_11</vt:lpstr>
      <vt:lpstr>GMIC_22A_SCDPT4!SCDPT4_502BEGINNG_12</vt:lpstr>
      <vt:lpstr>GMIC_22A_SCDPT4!SCDPT4_502BEGINNG_13</vt:lpstr>
      <vt:lpstr>GMIC_22A_SCDPT4!SCDPT4_502BEGINNG_14</vt:lpstr>
      <vt:lpstr>GMIC_22A_SCDPT4!SCDPT4_502BEGINNG_15</vt:lpstr>
      <vt:lpstr>GMIC_22A_SCDPT4!SCDPT4_502BEGINNG_16</vt:lpstr>
      <vt:lpstr>GMIC_22A_SCDPT4!SCDPT4_502BEGINNG_17</vt:lpstr>
      <vt:lpstr>GMIC_22A_SCDPT4!SCDPT4_502BEGINNG_18</vt:lpstr>
      <vt:lpstr>GMIC_22A_SCDPT4!SCDPT4_502BEGINNG_19</vt:lpstr>
      <vt:lpstr>GMIC_22A_SCDPT4!SCDPT4_502BEGINNG_2</vt:lpstr>
      <vt:lpstr>GMIC_22A_SCDPT4!SCDPT4_502BEGINNG_20</vt:lpstr>
      <vt:lpstr>GMIC_22A_SCDPT4!SCDPT4_502BEGINNG_21</vt:lpstr>
      <vt:lpstr>GMIC_22A_SCDPT4!SCDPT4_502BEGINNG_22</vt:lpstr>
      <vt:lpstr>GMIC_22A_SCDPT4!SCDPT4_502BEGINNG_23</vt:lpstr>
      <vt:lpstr>GMIC_22A_SCDPT4!SCDPT4_502BEGINNG_24</vt:lpstr>
      <vt:lpstr>GMIC_22A_SCDPT4!SCDPT4_502BEGINNG_25</vt:lpstr>
      <vt:lpstr>GMIC_22A_SCDPT4!SCDPT4_502BEGINNG_26</vt:lpstr>
      <vt:lpstr>GMIC_22A_SCDPT4!SCDPT4_502BEGINNG_27</vt:lpstr>
      <vt:lpstr>GMIC_22A_SCDPT4!SCDPT4_502BEGINNG_3</vt:lpstr>
      <vt:lpstr>GMIC_22A_SCDPT4!SCDPT4_502BEGINNG_4</vt:lpstr>
      <vt:lpstr>GMIC_22A_SCDPT4!SCDPT4_502BEGINNG_5</vt:lpstr>
      <vt:lpstr>GMIC_22A_SCDPT4!SCDPT4_502BEGINNG_6</vt:lpstr>
      <vt:lpstr>GMIC_22A_SCDPT4!SCDPT4_502BEGINNG_7</vt:lpstr>
      <vt:lpstr>GMIC_22A_SCDPT4!SCDPT4_502BEGINNG_8</vt:lpstr>
      <vt:lpstr>GMIC_22A_SCDPT4!SCDPT4_502BEGINNG_9</vt:lpstr>
      <vt:lpstr>GMIC_22A_SCDPT4!SCDPT4_502ENDINGG_10</vt:lpstr>
      <vt:lpstr>GMIC_22A_SCDPT4!SCDPT4_502ENDINGG_11</vt:lpstr>
      <vt:lpstr>GMIC_22A_SCDPT4!SCDPT4_502ENDINGG_12</vt:lpstr>
      <vt:lpstr>GMIC_22A_SCDPT4!SCDPT4_502ENDINGG_13</vt:lpstr>
      <vt:lpstr>GMIC_22A_SCDPT4!SCDPT4_502ENDINGG_14</vt:lpstr>
      <vt:lpstr>GMIC_22A_SCDPT4!SCDPT4_502ENDINGG_15</vt:lpstr>
      <vt:lpstr>GMIC_22A_SCDPT4!SCDPT4_502ENDINGG_16</vt:lpstr>
      <vt:lpstr>GMIC_22A_SCDPT4!SCDPT4_502ENDINGG_17</vt:lpstr>
      <vt:lpstr>GMIC_22A_SCDPT4!SCDPT4_502ENDINGG_18</vt:lpstr>
      <vt:lpstr>GMIC_22A_SCDPT4!SCDPT4_502ENDINGG_19</vt:lpstr>
      <vt:lpstr>GMIC_22A_SCDPT4!SCDPT4_502ENDINGG_2</vt:lpstr>
      <vt:lpstr>GMIC_22A_SCDPT4!SCDPT4_502ENDINGG_20</vt:lpstr>
      <vt:lpstr>GMIC_22A_SCDPT4!SCDPT4_502ENDINGG_21</vt:lpstr>
      <vt:lpstr>GMIC_22A_SCDPT4!SCDPT4_502ENDINGG_22</vt:lpstr>
      <vt:lpstr>GMIC_22A_SCDPT4!SCDPT4_502ENDINGG_23</vt:lpstr>
      <vt:lpstr>GMIC_22A_SCDPT4!SCDPT4_502ENDINGG_24</vt:lpstr>
      <vt:lpstr>GMIC_22A_SCDPT4!SCDPT4_502ENDINGG_25</vt:lpstr>
      <vt:lpstr>GMIC_22A_SCDPT4!SCDPT4_502ENDINGG_26</vt:lpstr>
      <vt:lpstr>GMIC_22A_SCDPT4!SCDPT4_502ENDINGG_27</vt:lpstr>
      <vt:lpstr>GMIC_22A_SCDPT4!SCDPT4_502ENDINGG_3</vt:lpstr>
      <vt:lpstr>GMIC_22A_SCDPT4!SCDPT4_502ENDINGG_4</vt:lpstr>
      <vt:lpstr>GMIC_22A_SCDPT4!SCDPT4_502ENDINGG_5</vt:lpstr>
      <vt:lpstr>GMIC_22A_SCDPT4!SCDPT4_502ENDINGG_6</vt:lpstr>
      <vt:lpstr>GMIC_22A_SCDPT4!SCDPT4_502ENDINGG_7</vt:lpstr>
      <vt:lpstr>GMIC_22A_SCDPT4!SCDPT4_502ENDINGG_8</vt:lpstr>
      <vt:lpstr>GMIC_22A_SCDPT4!SCDPT4_502ENDINGG_9</vt:lpstr>
      <vt:lpstr>GMIC_22A_SCDPT4!SCDPT4_5310000000_Range</vt:lpstr>
      <vt:lpstr>GMIC_22A_SCDPT4!SCDPT4_5319999999_10</vt:lpstr>
      <vt:lpstr>GMIC_22A_SCDPT4!SCDPT4_5319999999_11</vt:lpstr>
      <vt:lpstr>GMIC_22A_SCDPT4!SCDPT4_5319999999_12</vt:lpstr>
      <vt:lpstr>GMIC_22A_SCDPT4!SCDPT4_5319999999_13</vt:lpstr>
      <vt:lpstr>GMIC_22A_SCDPT4!SCDPT4_5319999999_14</vt:lpstr>
      <vt:lpstr>GMIC_22A_SCDPT4!SCDPT4_5319999999_15</vt:lpstr>
      <vt:lpstr>GMIC_22A_SCDPT4!SCDPT4_5319999999_16</vt:lpstr>
      <vt:lpstr>GMIC_22A_SCDPT4!SCDPT4_5319999999_17</vt:lpstr>
      <vt:lpstr>GMIC_22A_SCDPT4!SCDPT4_5319999999_18</vt:lpstr>
      <vt:lpstr>GMIC_22A_SCDPT4!SCDPT4_5319999999_19</vt:lpstr>
      <vt:lpstr>GMIC_22A_SCDPT4!SCDPT4_5319999999_20</vt:lpstr>
      <vt:lpstr>GMIC_22A_SCDPT4!SCDPT4_5319999999_7</vt:lpstr>
      <vt:lpstr>GMIC_22A_SCDPT4!SCDPT4_5319999999_9</vt:lpstr>
      <vt:lpstr>GMIC_22A_SCDPT4!SCDPT4_531BEGINNG_1</vt:lpstr>
      <vt:lpstr>GMIC_22A_SCDPT4!SCDPT4_531BEGINNG_10</vt:lpstr>
      <vt:lpstr>GMIC_22A_SCDPT4!SCDPT4_531BEGINNG_11</vt:lpstr>
      <vt:lpstr>GMIC_22A_SCDPT4!SCDPT4_531BEGINNG_12</vt:lpstr>
      <vt:lpstr>GMIC_22A_SCDPT4!SCDPT4_531BEGINNG_13</vt:lpstr>
      <vt:lpstr>GMIC_22A_SCDPT4!SCDPT4_531BEGINNG_14</vt:lpstr>
      <vt:lpstr>GMIC_22A_SCDPT4!SCDPT4_531BEGINNG_15</vt:lpstr>
      <vt:lpstr>GMIC_22A_SCDPT4!SCDPT4_531BEGINNG_16</vt:lpstr>
      <vt:lpstr>GMIC_22A_SCDPT4!SCDPT4_531BEGINNG_17</vt:lpstr>
      <vt:lpstr>GMIC_22A_SCDPT4!SCDPT4_531BEGINNG_18</vt:lpstr>
      <vt:lpstr>GMIC_22A_SCDPT4!SCDPT4_531BEGINNG_19</vt:lpstr>
      <vt:lpstr>GMIC_22A_SCDPT4!SCDPT4_531BEGINNG_2</vt:lpstr>
      <vt:lpstr>GMIC_22A_SCDPT4!SCDPT4_531BEGINNG_20</vt:lpstr>
      <vt:lpstr>GMIC_22A_SCDPT4!SCDPT4_531BEGINNG_21</vt:lpstr>
      <vt:lpstr>GMIC_22A_SCDPT4!SCDPT4_531BEGINNG_22</vt:lpstr>
      <vt:lpstr>GMIC_22A_SCDPT4!SCDPT4_531BEGINNG_23</vt:lpstr>
      <vt:lpstr>GMIC_22A_SCDPT4!SCDPT4_531BEGINNG_24</vt:lpstr>
      <vt:lpstr>GMIC_22A_SCDPT4!SCDPT4_531BEGINNG_25</vt:lpstr>
      <vt:lpstr>GMIC_22A_SCDPT4!SCDPT4_531BEGINNG_26</vt:lpstr>
      <vt:lpstr>GMIC_22A_SCDPT4!SCDPT4_531BEGINNG_27</vt:lpstr>
      <vt:lpstr>GMIC_22A_SCDPT4!SCDPT4_531BEGINNG_3</vt:lpstr>
      <vt:lpstr>GMIC_22A_SCDPT4!SCDPT4_531BEGINNG_4</vt:lpstr>
      <vt:lpstr>GMIC_22A_SCDPT4!SCDPT4_531BEGINNG_5</vt:lpstr>
      <vt:lpstr>GMIC_22A_SCDPT4!SCDPT4_531BEGINNG_6</vt:lpstr>
      <vt:lpstr>GMIC_22A_SCDPT4!SCDPT4_531BEGINNG_7</vt:lpstr>
      <vt:lpstr>GMIC_22A_SCDPT4!SCDPT4_531BEGINNG_8</vt:lpstr>
      <vt:lpstr>GMIC_22A_SCDPT4!SCDPT4_531BEGINNG_9</vt:lpstr>
      <vt:lpstr>GMIC_22A_SCDPT4!SCDPT4_531ENDINGG_10</vt:lpstr>
      <vt:lpstr>GMIC_22A_SCDPT4!SCDPT4_531ENDINGG_11</vt:lpstr>
      <vt:lpstr>GMIC_22A_SCDPT4!SCDPT4_531ENDINGG_12</vt:lpstr>
      <vt:lpstr>GMIC_22A_SCDPT4!SCDPT4_531ENDINGG_13</vt:lpstr>
      <vt:lpstr>GMIC_22A_SCDPT4!SCDPT4_531ENDINGG_14</vt:lpstr>
      <vt:lpstr>GMIC_22A_SCDPT4!SCDPT4_531ENDINGG_15</vt:lpstr>
      <vt:lpstr>GMIC_22A_SCDPT4!SCDPT4_531ENDINGG_16</vt:lpstr>
      <vt:lpstr>GMIC_22A_SCDPT4!SCDPT4_531ENDINGG_17</vt:lpstr>
      <vt:lpstr>GMIC_22A_SCDPT4!SCDPT4_531ENDINGG_18</vt:lpstr>
      <vt:lpstr>GMIC_22A_SCDPT4!SCDPT4_531ENDINGG_19</vt:lpstr>
      <vt:lpstr>GMIC_22A_SCDPT4!SCDPT4_531ENDINGG_2</vt:lpstr>
      <vt:lpstr>GMIC_22A_SCDPT4!SCDPT4_531ENDINGG_20</vt:lpstr>
      <vt:lpstr>GMIC_22A_SCDPT4!SCDPT4_531ENDINGG_21</vt:lpstr>
      <vt:lpstr>GMIC_22A_SCDPT4!SCDPT4_531ENDINGG_22</vt:lpstr>
      <vt:lpstr>GMIC_22A_SCDPT4!SCDPT4_531ENDINGG_23</vt:lpstr>
      <vt:lpstr>GMIC_22A_SCDPT4!SCDPT4_531ENDINGG_24</vt:lpstr>
      <vt:lpstr>GMIC_22A_SCDPT4!SCDPT4_531ENDINGG_25</vt:lpstr>
      <vt:lpstr>GMIC_22A_SCDPT4!SCDPT4_531ENDINGG_26</vt:lpstr>
      <vt:lpstr>GMIC_22A_SCDPT4!SCDPT4_531ENDINGG_27</vt:lpstr>
      <vt:lpstr>GMIC_22A_SCDPT4!SCDPT4_531ENDINGG_3</vt:lpstr>
      <vt:lpstr>GMIC_22A_SCDPT4!SCDPT4_531ENDINGG_4</vt:lpstr>
      <vt:lpstr>GMIC_22A_SCDPT4!SCDPT4_531ENDINGG_5</vt:lpstr>
      <vt:lpstr>GMIC_22A_SCDPT4!SCDPT4_531ENDINGG_6</vt:lpstr>
      <vt:lpstr>GMIC_22A_SCDPT4!SCDPT4_531ENDINGG_7</vt:lpstr>
      <vt:lpstr>GMIC_22A_SCDPT4!SCDPT4_531ENDINGG_8</vt:lpstr>
      <vt:lpstr>GMIC_22A_SCDPT4!SCDPT4_531ENDINGG_9</vt:lpstr>
      <vt:lpstr>GMIC_22A_SCDPT4!SCDPT4_5320000000_Range</vt:lpstr>
      <vt:lpstr>GMIC_22A_SCDPT4!SCDPT4_5329999999_10</vt:lpstr>
      <vt:lpstr>GMIC_22A_SCDPT4!SCDPT4_5329999999_11</vt:lpstr>
      <vt:lpstr>GMIC_22A_SCDPT4!SCDPT4_5329999999_12</vt:lpstr>
      <vt:lpstr>GMIC_22A_SCDPT4!SCDPT4_5329999999_13</vt:lpstr>
      <vt:lpstr>GMIC_22A_SCDPT4!SCDPT4_5329999999_14</vt:lpstr>
      <vt:lpstr>GMIC_22A_SCDPT4!SCDPT4_5329999999_15</vt:lpstr>
      <vt:lpstr>GMIC_22A_SCDPT4!SCDPT4_5329999999_16</vt:lpstr>
      <vt:lpstr>GMIC_22A_SCDPT4!SCDPT4_5329999999_17</vt:lpstr>
      <vt:lpstr>GMIC_22A_SCDPT4!SCDPT4_5329999999_18</vt:lpstr>
      <vt:lpstr>GMIC_22A_SCDPT4!SCDPT4_5329999999_19</vt:lpstr>
      <vt:lpstr>GMIC_22A_SCDPT4!SCDPT4_5329999999_20</vt:lpstr>
      <vt:lpstr>GMIC_22A_SCDPT4!SCDPT4_5329999999_7</vt:lpstr>
      <vt:lpstr>GMIC_22A_SCDPT4!SCDPT4_5329999999_9</vt:lpstr>
      <vt:lpstr>GMIC_22A_SCDPT4!SCDPT4_532BEGINNG_1</vt:lpstr>
      <vt:lpstr>GMIC_22A_SCDPT4!SCDPT4_532BEGINNG_10</vt:lpstr>
      <vt:lpstr>GMIC_22A_SCDPT4!SCDPT4_532BEGINNG_11</vt:lpstr>
      <vt:lpstr>GMIC_22A_SCDPT4!SCDPT4_532BEGINNG_12</vt:lpstr>
      <vt:lpstr>GMIC_22A_SCDPT4!SCDPT4_532BEGINNG_13</vt:lpstr>
      <vt:lpstr>GMIC_22A_SCDPT4!SCDPT4_532BEGINNG_14</vt:lpstr>
      <vt:lpstr>GMIC_22A_SCDPT4!SCDPT4_532BEGINNG_15</vt:lpstr>
      <vt:lpstr>GMIC_22A_SCDPT4!SCDPT4_532BEGINNG_16</vt:lpstr>
      <vt:lpstr>GMIC_22A_SCDPT4!SCDPT4_532BEGINNG_17</vt:lpstr>
      <vt:lpstr>GMIC_22A_SCDPT4!SCDPT4_532BEGINNG_18</vt:lpstr>
      <vt:lpstr>GMIC_22A_SCDPT4!SCDPT4_532BEGINNG_19</vt:lpstr>
      <vt:lpstr>GMIC_22A_SCDPT4!SCDPT4_532BEGINNG_2</vt:lpstr>
      <vt:lpstr>GMIC_22A_SCDPT4!SCDPT4_532BEGINNG_20</vt:lpstr>
      <vt:lpstr>GMIC_22A_SCDPT4!SCDPT4_532BEGINNG_21</vt:lpstr>
      <vt:lpstr>GMIC_22A_SCDPT4!SCDPT4_532BEGINNG_22</vt:lpstr>
      <vt:lpstr>GMIC_22A_SCDPT4!SCDPT4_532BEGINNG_23</vt:lpstr>
      <vt:lpstr>GMIC_22A_SCDPT4!SCDPT4_532BEGINNG_24</vt:lpstr>
      <vt:lpstr>GMIC_22A_SCDPT4!SCDPT4_532BEGINNG_25</vt:lpstr>
      <vt:lpstr>GMIC_22A_SCDPT4!SCDPT4_532BEGINNG_26</vt:lpstr>
      <vt:lpstr>GMIC_22A_SCDPT4!SCDPT4_532BEGINNG_27</vt:lpstr>
      <vt:lpstr>GMIC_22A_SCDPT4!SCDPT4_532BEGINNG_3</vt:lpstr>
      <vt:lpstr>GMIC_22A_SCDPT4!SCDPT4_532BEGINNG_4</vt:lpstr>
      <vt:lpstr>GMIC_22A_SCDPT4!SCDPT4_532BEGINNG_5</vt:lpstr>
      <vt:lpstr>GMIC_22A_SCDPT4!SCDPT4_532BEGINNG_6</vt:lpstr>
      <vt:lpstr>GMIC_22A_SCDPT4!SCDPT4_532BEGINNG_7</vt:lpstr>
      <vt:lpstr>GMIC_22A_SCDPT4!SCDPT4_532BEGINNG_8</vt:lpstr>
      <vt:lpstr>GMIC_22A_SCDPT4!SCDPT4_532BEGINNG_9</vt:lpstr>
      <vt:lpstr>GMIC_22A_SCDPT4!SCDPT4_532ENDINGG_10</vt:lpstr>
      <vt:lpstr>GMIC_22A_SCDPT4!SCDPT4_532ENDINGG_11</vt:lpstr>
      <vt:lpstr>GMIC_22A_SCDPT4!SCDPT4_532ENDINGG_12</vt:lpstr>
      <vt:lpstr>GMIC_22A_SCDPT4!SCDPT4_532ENDINGG_13</vt:lpstr>
      <vt:lpstr>GMIC_22A_SCDPT4!SCDPT4_532ENDINGG_14</vt:lpstr>
      <vt:lpstr>GMIC_22A_SCDPT4!SCDPT4_532ENDINGG_15</vt:lpstr>
      <vt:lpstr>GMIC_22A_SCDPT4!SCDPT4_532ENDINGG_16</vt:lpstr>
      <vt:lpstr>GMIC_22A_SCDPT4!SCDPT4_532ENDINGG_17</vt:lpstr>
      <vt:lpstr>GMIC_22A_SCDPT4!SCDPT4_532ENDINGG_18</vt:lpstr>
      <vt:lpstr>GMIC_22A_SCDPT4!SCDPT4_532ENDINGG_19</vt:lpstr>
      <vt:lpstr>GMIC_22A_SCDPT4!SCDPT4_532ENDINGG_2</vt:lpstr>
      <vt:lpstr>GMIC_22A_SCDPT4!SCDPT4_532ENDINGG_20</vt:lpstr>
      <vt:lpstr>GMIC_22A_SCDPT4!SCDPT4_532ENDINGG_21</vt:lpstr>
      <vt:lpstr>GMIC_22A_SCDPT4!SCDPT4_532ENDINGG_22</vt:lpstr>
      <vt:lpstr>GMIC_22A_SCDPT4!SCDPT4_532ENDINGG_23</vt:lpstr>
      <vt:lpstr>GMIC_22A_SCDPT4!SCDPT4_532ENDINGG_24</vt:lpstr>
      <vt:lpstr>GMIC_22A_SCDPT4!SCDPT4_532ENDINGG_25</vt:lpstr>
      <vt:lpstr>GMIC_22A_SCDPT4!SCDPT4_532ENDINGG_26</vt:lpstr>
      <vt:lpstr>GMIC_22A_SCDPT4!SCDPT4_532ENDINGG_27</vt:lpstr>
      <vt:lpstr>GMIC_22A_SCDPT4!SCDPT4_532ENDINGG_3</vt:lpstr>
      <vt:lpstr>GMIC_22A_SCDPT4!SCDPT4_532ENDINGG_4</vt:lpstr>
      <vt:lpstr>GMIC_22A_SCDPT4!SCDPT4_532ENDINGG_5</vt:lpstr>
      <vt:lpstr>GMIC_22A_SCDPT4!SCDPT4_532ENDINGG_6</vt:lpstr>
      <vt:lpstr>GMIC_22A_SCDPT4!SCDPT4_532ENDINGG_7</vt:lpstr>
      <vt:lpstr>GMIC_22A_SCDPT4!SCDPT4_532ENDINGG_8</vt:lpstr>
      <vt:lpstr>GMIC_22A_SCDPT4!SCDPT4_532ENDINGG_9</vt:lpstr>
      <vt:lpstr>GMIC_22A_SCDPT4!SCDPT4_5510000000_Range</vt:lpstr>
      <vt:lpstr>GMIC_22A_SCDPT4!SCDPT4_5519999999_10</vt:lpstr>
      <vt:lpstr>GMIC_22A_SCDPT4!SCDPT4_5519999999_11</vt:lpstr>
      <vt:lpstr>GMIC_22A_SCDPT4!SCDPT4_5519999999_12</vt:lpstr>
      <vt:lpstr>GMIC_22A_SCDPT4!SCDPT4_5519999999_13</vt:lpstr>
      <vt:lpstr>GMIC_22A_SCDPT4!SCDPT4_5519999999_14</vt:lpstr>
      <vt:lpstr>GMIC_22A_SCDPT4!SCDPT4_5519999999_15</vt:lpstr>
      <vt:lpstr>GMIC_22A_SCDPT4!SCDPT4_5519999999_16</vt:lpstr>
      <vt:lpstr>GMIC_22A_SCDPT4!SCDPT4_5519999999_17</vt:lpstr>
      <vt:lpstr>GMIC_22A_SCDPT4!SCDPT4_5519999999_18</vt:lpstr>
      <vt:lpstr>GMIC_22A_SCDPT4!SCDPT4_5519999999_19</vt:lpstr>
      <vt:lpstr>GMIC_22A_SCDPT4!SCDPT4_5519999999_20</vt:lpstr>
      <vt:lpstr>GMIC_22A_SCDPT4!SCDPT4_5519999999_7</vt:lpstr>
      <vt:lpstr>GMIC_22A_SCDPT4!SCDPT4_5519999999_9</vt:lpstr>
      <vt:lpstr>GMIC_22A_SCDPT4!SCDPT4_551BEGINNG_1</vt:lpstr>
      <vt:lpstr>GMIC_22A_SCDPT4!SCDPT4_551BEGINNG_10</vt:lpstr>
      <vt:lpstr>GMIC_22A_SCDPT4!SCDPT4_551BEGINNG_11</vt:lpstr>
      <vt:lpstr>GMIC_22A_SCDPT4!SCDPT4_551BEGINNG_12</vt:lpstr>
      <vt:lpstr>GMIC_22A_SCDPT4!SCDPT4_551BEGINNG_13</vt:lpstr>
      <vt:lpstr>GMIC_22A_SCDPT4!SCDPT4_551BEGINNG_14</vt:lpstr>
      <vt:lpstr>GMIC_22A_SCDPT4!SCDPT4_551BEGINNG_15</vt:lpstr>
      <vt:lpstr>GMIC_22A_SCDPT4!SCDPT4_551BEGINNG_16</vt:lpstr>
      <vt:lpstr>GMIC_22A_SCDPT4!SCDPT4_551BEGINNG_17</vt:lpstr>
      <vt:lpstr>GMIC_22A_SCDPT4!SCDPT4_551BEGINNG_18</vt:lpstr>
      <vt:lpstr>GMIC_22A_SCDPT4!SCDPT4_551BEGINNG_19</vt:lpstr>
      <vt:lpstr>GMIC_22A_SCDPT4!SCDPT4_551BEGINNG_2</vt:lpstr>
      <vt:lpstr>GMIC_22A_SCDPT4!SCDPT4_551BEGINNG_20</vt:lpstr>
      <vt:lpstr>GMIC_22A_SCDPT4!SCDPT4_551BEGINNG_21</vt:lpstr>
      <vt:lpstr>GMIC_22A_SCDPT4!SCDPT4_551BEGINNG_22</vt:lpstr>
      <vt:lpstr>GMIC_22A_SCDPT4!SCDPT4_551BEGINNG_23</vt:lpstr>
      <vt:lpstr>GMIC_22A_SCDPT4!SCDPT4_551BEGINNG_24</vt:lpstr>
      <vt:lpstr>GMIC_22A_SCDPT4!SCDPT4_551BEGINNG_25</vt:lpstr>
      <vt:lpstr>GMIC_22A_SCDPT4!SCDPT4_551BEGINNG_26</vt:lpstr>
      <vt:lpstr>GMIC_22A_SCDPT4!SCDPT4_551BEGINNG_27</vt:lpstr>
      <vt:lpstr>GMIC_22A_SCDPT4!SCDPT4_551BEGINNG_3</vt:lpstr>
      <vt:lpstr>GMIC_22A_SCDPT4!SCDPT4_551BEGINNG_4</vt:lpstr>
      <vt:lpstr>GMIC_22A_SCDPT4!SCDPT4_551BEGINNG_5</vt:lpstr>
      <vt:lpstr>GMIC_22A_SCDPT4!SCDPT4_551BEGINNG_6</vt:lpstr>
      <vt:lpstr>GMIC_22A_SCDPT4!SCDPT4_551BEGINNG_7</vt:lpstr>
      <vt:lpstr>GMIC_22A_SCDPT4!SCDPT4_551BEGINNG_8</vt:lpstr>
      <vt:lpstr>GMIC_22A_SCDPT4!SCDPT4_551BEGINNG_9</vt:lpstr>
      <vt:lpstr>GMIC_22A_SCDPT4!SCDPT4_551ENDINGG_10</vt:lpstr>
      <vt:lpstr>GMIC_22A_SCDPT4!SCDPT4_551ENDINGG_11</vt:lpstr>
      <vt:lpstr>GMIC_22A_SCDPT4!SCDPT4_551ENDINGG_12</vt:lpstr>
      <vt:lpstr>GMIC_22A_SCDPT4!SCDPT4_551ENDINGG_13</vt:lpstr>
      <vt:lpstr>GMIC_22A_SCDPT4!SCDPT4_551ENDINGG_14</vt:lpstr>
      <vt:lpstr>GMIC_22A_SCDPT4!SCDPT4_551ENDINGG_15</vt:lpstr>
      <vt:lpstr>GMIC_22A_SCDPT4!SCDPT4_551ENDINGG_16</vt:lpstr>
      <vt:lpstr>GMIC_22A_SCDPT4!SCDPT4_551ENDINGG_17</vt:lpstr>
      <vt:lpstr>GMIC_22A_SCDPT4!SCDPT4_551ENDINGG_18</vt:lpstr>
      <vt:lpstr>GMIC_22A_SCDPT4!SCDPT4_551ENDINGG_19</vt:lpstr>
      <vt:lpstr>GMIC_22A_SCDPT4!SCDPT4_551ENDINGG_2</vt:lpstr>
      <vt:lpstr>GMIC_22A_SCDPT4!SCDPT4_551ENDINGG_20</vt:lpstr>
      <vt:lpstr>GMIC_22A_SCDPT4!SCDPT4_551ENDINGG_21</vt:lpstr>
      <vt:lpstr>GMIC_22A_SCDPT4!SCDPT4_551ENDINGG_22</vt:lpstr>
      <vt:lpstr>GMIC_22A_SCDPT4!SCDPT4_551ENDINGG_23</vt:lpstr>
      <vt:lpstr>GMIC_22A_SCDPT4!SCDPT4_551ENDINGG_24</vt:lpstr>
      <vt:lpstr>GMIC_22A_SCDPT4!SCDPT4_551ENDINGG_25</vt:lpstr>
      <vt:lpstr>GMIC_22A_SCDPT4!SCDPT4_551ENDINGG_26</vt:lpstr>
      <vt:lpstr>GMIC_22A_SCDPT4!SCDPT4_551ENDINGG_27</vt:lpstr>
      <vt:lpstr>GMIC_22A_SCDPT4!SCDPT4_551ENDINGG_3</vt:lpstr>
      <vt:lpstr>GMIC_22A_SCDPT4!SCDPT4_551ENDINGG_4</vt:lpstr>
      <vt:lpstr>GMIC_22A_SCDPT4!SCDPT4_551ENDINGG_5</vt:lpstr>
      <vt:lpstr>GMIC_22A_SCDPT4!SCDPT4_551ENDINGG_6</vt:lpstr>
      <vt:lpstr>GMIC_22A_SCDPT4!SCDPT4_551ENDINGG_7</vt:lpstr>
      <vt:lpstr>GMIC_22A_SCDPT4!SCDPT4_551ENDINGG_8</vt:lpstr>
      <vt:lpstr>GMIC_22A_SCDPT4!SCDPT4_551ENDINGG_9</vt:lpstr>
      <vt:lpstr>GMIC_22A_SCDPT4!SCDPT4_5520000000_Range</vt:lpstr>
      <vt:lpstr>GMIC_22A_SCDPT4!SCDPT4_5529999999_10</vt:lpstr>
      <vt:lpstr>GMIC_22A_SCDPT4!SCDPT4_5529999999_11</vt:lpstr>
      <vt:lpstr>GMIC_22A_SCDPT4!SCDPT4_5529999999_12</vt:lpstr>
      <vt:lpstr>GMIC_22A_SCDPT4!SCDPT4_5529999999_13</vt:lpstr>
      <vt:lpstr>GMIC_22A_SCDPT4!SCDPT4_5529999999_14</vt:lpstr>
      <vt:lpstr>GMIC_22A_SCDPT4!SCDPT4_5529999999_15</vt:lpstr>
      <vt:lpstr>GMIC_22A_SCDPT4!SCDPT4_5529999999_16</vt:lpstr>
      <vt:lpstr>GMIC_22A_SCDPT4!SCDPT4_5529999999_17</vt:lpstr>
      <vt:lpstr>GMIC_22A_SCDPT4!SCDPT4_5529999999_18</vt:lpstr>
      <vt:lpstr>GMIC_22A_SCDPT4!SCDPT4_5529999999_19</vt:lpstr>
      <vt:lpstr>GMIC_22A_SCDPT4!SCDPT4_5529999999_20</vt:lpstr>
      <vt:lpstr>GMIC_22A_SCDPT4!SCDPT4_5529999999_7</vt:lpstr>
      <vt:lpstr>GMIC_22A_SCDPT4!SCDPT4_5529999999_9</vt:lpstr>
      <vt:lpstr>GMIC_22A_SCDPT4!SCDPT4_552BEGINNG_1</vt:lpstr>
      <vt:lpstr>GMIC_22A_SCDPT4!SCDPT4_552BEGINNG_10</vt:lpstr>
      <vt:lpstr>GMIC_22A_SCDPT4!SCDPT4_552BEGINNG_11</vt:lpstr>
      <vt:lpstr>GMIC_22A_SCDPT4!SCDPT4_552BEGINNG_12</vt:lpstr>
      <vt:lpstr>GMIC_22A_SCDPT4!SCDPT4_552BEGINNG_13</vt:lpstr>
      <vt:lpstr>GMIC_22A_SCDPT4!SCDPT4_552BEGINNG_14</vt:lpstr>
      <vt:lpstr>GMIC_22A_SCDPT4!SCDPT4_552BEGINNG_15</vt:lpstr>
      <vt:lpstr>GMIC_22A_SCDPT4!SCDPT4_552BEGINNG_16</vt:lpstr>
      <vt:lpstr>GMIC_22A_SCDPT4!SCDPT4_552BEGINNG_17</vt:lpstr>
      <vt:lpstr>GMIC_22A_SCDPT4!SCDPT4_552BEGINNG_18</vt:lpstr>
      <vt:lpstr>GMIC_22A_SCDPT4!SCDPT4_552BEGINNG_19</vt:lpstr>
      <vt:lpstr>GMIC_22A_SCDPT4!SCDPT4_552BEGINNG_2</vt:lpstr>
      <vt:lpstr>GMIC_22A_SCDPT4!SCDPT4_552BEGINNG_20</vt:lpstr>
      <vt:lpstr>GMIC_22A_SCDPT4!SCDPT4_552BEGINNG_21</vt:lpstr>
      <vt:lpstr>GMIC_22A_SCDPT4!SCDPT4_552BEGINNG_22</vt:lpstr>
      <vt:lpstr>GMIC_22A_SCDPT4!SCDPT4_552BEGINNG_23</vt:lpstr>
      <vt:lpstr>GMIC_22A_SCDPT4!SCDPT4_552BEGINNG_24</vt:lpstr>
      <vt:lpstr>GMIC_22A_SCDPT4!SCDPT4_552BEGINNG_25</vt:lpstr>
      <vt:lpstr>GMIC_22A_SCDPT4!SCDPT4_552BEGINNG_26</vt:lpstr>
      <vt:lpstr>GMIC_22A_SCDPT4!SCDPT4_552BEGINNG_27</vt:lpstr>
      <vt:lpstr>GMIC_22A_SCDPT4!SCDPT4_552BEGINNG_3</vt:lpstr>
      <vt:lpstr>GMIC_22A_SCDPT4!SCDPT4_552BEGINNG_4</vt:lpstr>
      <vt:lpstr>GMIC_22A_SCDPT4!SCDPT4_552BEGINNG_5</vt:lpstr>
      <vt:lpstr>GMIC_22A_SCDPT4!SCDPT4_552BEGINNG_6</vt:lpstr>
      <vt:lpstr>GMIC_22A_SCDPT4!SCDPT4_552BEGINNG_7</vt:lpstr>
      <vt:lpstr>GMIC_22A_SCDPT4!SCDPT4_552BEGINNG_8</vt:lpstr>
      <vt:lpstr>GMIC_22A_SCDPT4!SCDPT4_552BEGINNG_9</vt:lpstr>
      <vt:lpstr>GMIC_22A_SCDPT4!SCDPT4_552ENDINGG_10</vt:lpstr>
      <vt:lpstr>GMIC_22A_SCDPT4!SCDPT4_552ENDINGG_11</vt:lpstr>
      <vt:lpstr>GMIC_22A_SCDPT4!SCDPT4_552ENDINGG_12</vt:lpstr>
      <vt:lpstr>GMIC_22A_SCDPT4!SCDPT4_552ENDINGG_13</vt:lpstr>
      <vt:lpstr>GMIC_22A_SCDPT4!SCDPT4_552ENDINGG_14</vt:lpstr>
      <vt:lpstr>GMIC_22A_SCDPT4!SCDPT4_552ENDINGG_15</vt:lpstr>
      <vt:lpstr>GMIC_22A_SCDPT4!SCDPT4_552ENDINGG_16</vt:lpstr>
      <vt:lpstr>GMIC_22A_SCDPT4!SCDPT4_552ENDINGG_17</vt:lpstr>
      <vt:lpstr>GMIC_22A_SCDPT4!SCDPT4_552ENDINGG_18</vt:lpstr>
      <vt:lpstr>GMIC_22A_SCDPT4!SCDPT4_552ENDINGG_19</vt:lpstr>
      <vt:lpstr>GMIC_22A_SCDPT4!SCDPT4_552ENDINGG_2</vt:lpstr>
      <vt:lpstr>GMIC_22A_SCDPT4!SCDPT4_552ENDINGG_20</vt:lpstr>
      <vt:lpstr>GMIC_22A_SCDPT4!SCDPT4_552ENDINGG_21</vt:lpstr>
      <vt:lpstr>GMIC_22A_SCDPT4!SCDPT4_552ENDINGG_22</vt:lpstr>
      <vt:lpstr>GMIC_22A_SCDPT4!SCDPT4_552ENDINGG_23</vt:lpstr>
      <vt:lpstr>GMIC_22A_SCDPT4!SCDPT4_552ENDINGG_24</vt:lpstr>
      <vt:lpstr>GMIC_22A_SCDPT4!SCDPT4_552ENDINGG_25</vt:lpstr>
      <vt:lpstr>GMIC_22A_SCDPT4!SCDPT4_552ENDINGG_26</vt:lpstr>
      <vt:lpstr>GMIC_22A_SCDPT4!SCDPT4_552ENDINGG_27</vt:lpstr>
      <vt:lpstr>GMIC_22A_SCDPT4!SCDPT4_552ENDINGG_3</vt:lpstr>
      <vt:lpstr>GMIC_22A_SCDPT4!SCDPT4_552ENDINGG_4</vt:lpstr>
      <vt:lpstr>GMIC_22A_SCDPT4!SCDPT4_552ENDINGG_5</vt:lpstr>
      <vt:lpstr>GMIC_22A_SCDPT4!SCDPT4_552ENDINGG_6</vt:lpstr>
      <vt:lpstr>GMIC_22A_SCDPT4!SCDPT4_552ENDINGG_7</vt:lpstr>
      <vt:lpstr>GMIC_22A_SCDPT4!SCDPT4_552ENDINGG_8</vt:lpstr>
      <vt:lpstr>GMIC_22A_SCDPT4!SCDPT4_552ENDINGG_9</vt:lpstr>
      <vt:lpstr>GMIC_22A_SCDPT4!SCDPT4_5710000000_Range</vt:lpstr>
      <vt:lpstr>GMIC_22A_SCDPT4!SCDPT4_5719999999_10</vt:lpstr>
      <vt:lpstr>GMIC_22A_SCDPT4!SCDPT4_5719999999_11</vt:lpstr>
      <vt:lpstr>GMIC_22A_SCDPT4!SCDPT4_5719999999_12</vt:lpstr>
      <vt:lpstr>GMIC_22A_SCDPT4!SCDPT4_5719999999_13</vt:lpstr>
      <vt:lpstr>GMIC_22A_SCDPT4!SCDPT4_5719999999_14</vt:lpstr>
      <vt:lpstr>GMIC_22A_SCDPT4!SCDPT4_5719999999_15</vt:lpstr>
      <vt:lpstr>GMIC_22A_SCDPT4!SCDPT4_5719999999_16</vt:lpstr>
      <vt:lpstr>GMIC_22A_SCDPT4!SCDPT4_5719999999_17</vt:lpstr>
      <vt:lpstr>GMIC_22A_SCDPT4!SCDPT4_5719999999_18</vt:lpstr>
      <vt:lpstr>GMIC_22A_SCDPT4!SCDPT4_5719999999_19</vt:lpstr>
      <vt:lpstr>GMIC_22A_SCDPT4!SCDPT4_5719999999_20</vt:lpstr>
      <vt:lpstr>GMIC_22A_SCDPT4!SCDPT4_5719999999_7</vt:lpstr>
      <vt:lpstr>GMIC_22A_SCDPT4!SCDPT4_5719999999_9</vt:lpstr>
      <vt:lpstr>GMIC_22A_SCDPT4!SCDPT4_571BEGINNG_1</vt:lpstr>
      <vt:lpstr>GMIC_22A_SCDPT4!SCDPT4_571BEGINNG_10</vt:lpstr>
      <vt:lpstr>GMIC_22A_SCDPT4!SCDPT4_571BEGINNG_11</vt:lpstr>
      <vt:lpstr>GMIC_22A_SCDPT4!SCDPT4_571BEGINNG_12</vt:lpstr>
      <vt:lpstr>GMIC_22A_SCDPT4!SCDPT4_571BEGINNG_13</vt:lpstr>
      <vt:lpstr>GMIC_22A_SCDPT4!SCDPT4_571BEGINNG_14</vt:lpstr>
      <vt:lpstr>GMIC_22A_SCDPT4!SCDPT4_571BEGINNG_15</vt:lpstr>
      <vt:lpstr>GMIC_22A_SCDPT4!SCDPT4_571BEGINNG_16</vt:lpstr>
      <vt:lpstr>GMIC_22A_SCDPT4!SCDPT4_571BEGINNG_17</vt:lpstr>
      <vt:lpstr>GMIC_22A_SCDPT4!SCDPT4_571BEGINNG_18</vt:lpstr>
      <vt:lpstr>GMIC_22A_SCDPT4!SCDPT4_571BEGINNG_19</vt:lpstr>
      <vt:lpstr>GMIC_22A_SCDPT4!SCDPT4_571BEGINNG_2</vt:lpstr>
      <vt:lpstr>GMIC_22A_SCDPT4!SCDPT4_571BEGINNG_20</vt:lpstr>
      <vt:lpstr>GMIC_22A_SCDPT4!SCDPT4_571BEGINNG_21</vt:lpstr>
      <vt:lpstr>GMIC_22A_SCDPT4!SCDPT4_571BEGINNG_22</vt:lpstr>
      <vt:lpstr>GMIC_22A_SCDPT4!SCDPT4_571BEGINNG_23</vt:lpstr>
      <vt:lpstr>GMIC_22A_SCDPT4!SCDPT4_571BEGINNG_24</vt:lpstr>
      <vt:lpstr>GMIC_22A_SCDPT4!SCDPT4_571BEGINNG_25</vt:lpstr>
      <vt:lpstr>GMIC_22A_SCDPT4!SCDPT4_571BEGINNG_26</vt:lpstr>
      <vt:lpstr>GMIC_22A_SCDPT4!SCDPT4_571BEGINNG_27</vt:lpstr>
      <vt:lpstr>GMIC_22A_SCDPT4!SCDPT4_571BEGINNG_3</vt:lpstr>
      <vt:lpstr>GMIC_22A_SCDPT4!SCDPT4_571BEGINNG_4</vt:lpstr>
      <vt:lpstr>GMIC_22A_SCDPT4!SCDPT4_571BEGINNG_5</vt:lpstr>
      <vt:lpstr>GMIC_22A_SCDPT4!SCDPT4_571BEGINNG_6</vt:lpstr>
      <vt:lpstr>GMIC_22A_SCDPT4!SCDPT4_571BEGINNG_7</vt:lpstr>
      <vt:lpstr>GMIC_22A_SCDPT4!SCDPT4_571BEGINNG_8</vt:lpstr>
      <vt:lpstr>GMIC_22A_SCDPT4!SCDPT4_571BEGINNG_9</vt:lpstr>
      <vt:lpstr>GMIC_22A_SCDPT4!SCDPT4_571ENDINGG_10</vt:lpstr>
      <vt:lpstr>GMIC_22A_SCDPT4!SCDPT4_571ENDINGG_11</vt:lpstr>
      <vt:lpstr>GMIC_22A_SCDPT4!SCDPT4_571ENDINGG_12</vt:lpstr>
      <vt:lpstr>GMIC_22A_SCDPT4!SCDPT4_571ENDINGG_13</vt:lpstr>
      <vt:lpstr>GMIC_22A_SCDPT4!SCDPT4_571ENDINGG_14</vt:lpstr>
      <vt:lpstr>GMIC_22A_SCDPT4!SCDPT4_571ENDINGG_15</vt:lpstr>
      <vt:lpstr>GMIC_22A_SCDPT4!SCDPT4_571ENDINGG_16</vt:lpstr>
      <vt:lpstr>GMIC_22A_SCDPT4!SCDPT4_571ENDINGG_17</vt:lpstr>
      <vt:lpstr>GMIC_22A_SCDPT4!SCDPT4_571ENDINGG_18</vt:lpstr>
      <vt:lpstr>GMIC_22A_SCDPT4!SCDPT4_571ENDINGG_19</vt:lpstr>
      <vt:lpstr>GMIC_22A_SCDPT4!SCDPT4_571ENDINGG_2</vt:lpstr>
      <vt:lpstr>GMIC_22A_SCDPT4!SCDPT4_571ENDINGG_20</vt:lpstr>
      <vt:lpstr>GMIC_22A_SCDPT4!SCDPT4_571ENDINGG_21</vt:lpstr>
      <vt:lpstr>GMIC_22A_SCDPT4!SCDPT4_571ENDINGG_22</vt:lpstr>
      <vt:lpstr>GMIC_22A_SCDPT4!SCDPT4_571ENDINGG_23</vt:lpstr>
      <vt:lpstr>GMIC_22A_SCDPT4!SCDPT4_571ENDINGG_24</vt:lpstr>
      <vt:lpstr>GMIC_22A_SCDPT4!SCDPT4_571ENDINGG_25</vt:lpstr>
      <vt:lpstr>GMIC_22A_SCDPT4!SCDPT4_571ENDINGG_26</vt:lpstr>
      <vt:lpstr>GMIC_22A_SCDPT4!SCDPT4_571ENDINGG_27</vt:lpstr>
      <vt:lpstr>GMIC_22A_SCDPT4!SCDPT4_571ENDINGG_3</vt:lpstr>
      <vt:lpstr>GMIC_22A_SCDPT4!SCDPT4_571ENDINGG_4</vt:lpstr>
      <vt:lpstr>GMIC_22A_SCDPT4!SCDPT4_571ENDINGG_5</vt:lpstr>
      <vt:lpstr>GMIC_22A_SCDPT4!SCDPT4_571ENDINGG_6</vt:lpstr>
      <vt:lpstr>GMIC_22A_SCDPT4!SCDPT4_571ENDINGG_7</vt:lpstr>
      <vt:lpstr>GMIC_22A_SCDPT4!SCDPT4_571ENDINGG_8</vt:lpstr>
      <vt:lpstr>GMIC_22A_SCDPT4!SCDPT4_571ENDINGG_9</vt:lpstr>
      <vt:lpstr>GMIC_22A_SCDPT4!SCDPT4_5720000000_Range</vt:lpstr>
      <vt:lpstr>GMIC_22A_SCDPT4!SCDPT4_5729999999_10</vt:lpstr>
      <vt:lpstr>GMIC_22A_SCDPT4!SCDPT4_5729999999_11</vt:lpstr>
      <vt:lpstr>GMIC_22A_SCDPT4!SCDPT4_5729999999_12</vt:lpstr>
      <vt:lpstr>GMIC_22A_SCDPT4!SCDPT4_5729999999_13</vt:lpstr>
      <vt:lpstr>GMIC_22A_SCDPT4!SCDPT4_5729999999_14</vt:lpstr>
      <vt:lpstr>GMIC_22A_SCDPT4!SCDPT4_5729999999_15</vt:lpstr>
      <vt:lpstr>GMIC_22A_SCDPT4!SCDPT4_5729999999_16</vt:lpstr>
      <vt:lpstr>GMIC_22A_SCDPT4!SCDPT4_5729999999_17</vt:lpstr>
      <vt:lpstr>GMIC_22A_SCDPT4!SCDPT4_5729999999_18</vt:lpstr>
      <vt:lpstr>GMIC_22A_SCDPT4!SCDPT4_5729999999_19</vt:lpstr>
      <vt:lpstr>GMIC_22A_SCDPT4!SCDPT4_5729999999_20</vt:lpstr>
      <vt:lpstr>GMIC_22A_SCDPT4!SCDPT4_5729999999_7</vt:lpstr>
      <vt:lpstr>GMIC_22A_SCDPT4!SCDPT4_5729999999_9</vt:lpstr>
      <vt:lpstr>GMIC_22A_SCDPT4!SCDPT4_572BEGINNG_1</vt:lpstr>
      <vt:lpstr>GMIC_22A_SCDPT4!SCDPT4_572BEGINNG_10</vt:lpstr>
      <vt:lpstr>GMIC_22A_SCDPT4!SCDPT4_572BEGINNG_11</vt:lpstr>
      <vt:lpstr>GMIC_22A_SCDPT4!SCDPT4_572BEGINNG_12</vt:lpstr>
      <vt:lpstr>GMIC_22A_SCDPT4!SCDPT4_572BEGINNG_13</vt:lpstr>
      <vt:lpstr>GMIC_22A_SCDPT4!SCDPT4_572BEGINNG_14</vt:lpstr>
      <vt:lpstr>GMIC_22A_SCDPT4!SCDPT4_572BEGINNG_15</vt:lpstr>
      <vt:lpstr>GMIC_22A_SCDPT4!SCDPT4_572BEGINNG_16</vt:lpstr>
      <vt:lpstr>GMIC_22A_SCDPT4!SCDPT4_572BEGINNG_17</vt:lpstr>
      <vt:lpstr>GMIC_22A_SCDPT4!SCDPT4_572BEGINNG_18</vt:lpstr>
      <vt:lpstr>GMIC_22A_SCDPT4!SCDPT4_572BEGINNG_19</vt:lpstr>
      <vt:lpstr>GMIC_22A_SCDPT4!SCDPT4_572BEGINNG_2</vt:lpstr>
      <vt:lpstr>GMIC_22A_SCDPT4!SCDPT4_572BEGINNG_20</vt:lpstr>
      <vt:lpstr>GMIC_22A_SCDPT4!SCDPT4_572BEGINNG_21</vt:lpstr>
      <vt:lpstr>GMIC_22A_SCDPT4!SCDPT4_572BEGINNG_22</vt:lpstr>
      <vt:lpstr>GMIC_22A_SCDPT4!SCDPT4_572BEGINNG_23</vt:lpstr>
      <vt:lpstr>GMIC_22A_SCDPT4!SCDPT4_572BEGINNG_24</vt:lpstr>
      <vt:lpstr>GMIC_22A_SCDPT4!SCDPT4_572BEGINNG_25</vt:lpstr>
      <vt:lpstr>GMIC_22A_SCDPT4!SCDPT4_572BEGINNG_26</vt:lpstr>
      <vt:lpstr>GMIC_22A_SCDPT4!SCDPT4_572BEGINNG_27</vt:lpstr>
      <vt:lpstr>GMIC_22A_SCDPT4!SCDPT4_572BEGINNG_3</vt:lpstr>
      <vt:lpstr>GMIC_22A_SCDPT4!SCDPT4_572BEGINNG_4</vt:lpstr>
      <vt:lpstr>GMIC_22A_SCDPT4!SCDPT4_572BEGINNG_5</vt:lpstr>
      <vt:lpstr>GMIC_22A_SCDPT4!SCDPT4_572BEGINNG_6</vt:lpstr>
      <vt:lpstr>GMIC_22A_SCDPT4!SCDPT4_572BEGINNG_7</vt:lpstr>
      <vt:lpstr>GMIC_22A_SCDPT4!SCDPT4_572BEGINNG_8</vt:lpstr>
      <vt:lpstr>GMIC_22A_SCDPT4!SCDPT4_572BEGINNG_9</vt:lpstr>
      <vt:lpstr>GMIC_22A_SCDPT4!SCDPT4_572ENDINGG_10</vt:lpstr>
      <vt:lpstr>GMIC_22A_SCDPT4!SCDPT4_572ENDINGG_11</vt:lpstr>
      <vt:lpstr>GMIC_22A_SCDPT4!SCDPT4_572ENDINGG_12</vt:lpstr>
      <vt:lpstr>GMIC_22A_SCDPT4!SCDPT4_572ENDINGG_13</vt:lpstr>
      <vt:lpstr>GMIC_22A_SCDPT4!SCDPT4_572ENDINGG_14</vt:lpstr>
      <vt:lpstr>GMIC_22A_SCDPT4!SCDPT4_572ENDINGG_15</vt:lpstr>
      <vt:lpstr>GMIC_22A_SCDPT4!SCDPT4_572ENDINGG_16</vt:lpstr>
      <vt:lpstr>GMIC_22A_SCDPT4!SCDPT4_572ENDINGG_17</vt:lpstr>
      <vt:lpstr>GMIC_22A_SCDPT4!SCDPT4_572ENDINGG_18</vt:lpstr>
      <vt:lpstr>GMIC_22A_SCDPT4!SCDPT4_572ENDINGG_19</vt:lpstr>
      <vt:lpstr>GMIC_22A_SCDPT4!SCDPT4_572ENDINGG_2</vt:lpstr>
      <vt:lpstr>GMIC_22A_SCDPT4!SCDPT4_572ENDINGG_20</vt:lpstr>
      <vt:lpstr>GMIC_22A_SCDPT4!SCDPT4_572ENDINGG_21</vt:lpstr>
      <vt:lpstr>GMIC_22A_SCDPT4!SCDPT4_572ENDINGG_22</vt:lpstr>
      <vt:lpstr>GMIC_22A_SCDPT4!SCDPT4_572ENDINGG_23</vt:lpstr>
      <vt:lpstr>GMIC_22A_SCDPT4!SCDPT4_572ENDINGG_24</vt:lpstr>
      <vt:lpstr>GMIC_22A_SCDPT4!SCDPT4_572ENDINGG_25</vt:lpstr>
      <vt:lpstr>GMIC_22A_SCDPT4!SCDPT4_572ENDINGG_26</vt:lpstr>
      <vt:lpstr>GMIC_22A_SCDPT4!SCDPT4_572ENDINGG_27</vt:lpstr>
      <vt:lpstr>GMIC_22A_SCDPT4!SCDPT4_572ENDINGG_3</vt:lpstr>
      <vt:lpstr>GMIC_22A_SCDPT4!SCDPT4_572ENDINGG_4</vt:lpstr>
      <vt:lpstr>GMIC_22A_SCDPT4!SCDPT4_572ENDINGG_5</vt:lpstr>
      <vt:lpstr>GMIC_22A_SCDPT4!SCDPT4_572ENDINGG_6</vt:lpstr>
      <vt:lpstr>GMIC_22A_SCDPT4!SCDPT4_572ENDINGG_7</vt:lpstr>
      <vt:lpstr>GMIC_22A_SCDPT4!SCDPT4_572ENDINGG_8</vt:lpstr>
      <vt:lpstr>GMIC_22A_SCDPT4!SCDPT4_572ENDINGG_9</vt:lpstr>
      <vt:lpstr>GMIC_22A_SCDPT4!SCDPT4_5810000000_Range</vt:lpstr>
      <vt:lpstr>GMIC_22A_SCDPT4!SCDPT4_5819999999_10</vt:lpstr>
      <vt:lpstr>GMIC_22A_SCDPT4!SCDPT4_5819999999_11</vt:lpstr>
      <vt:lpstr>GMIC_22A_SCDPT4!SCDPT4_5819999999_12</vt:lpstr>
      <vt:lpstr>GMIC_22A_SCDPT4!SCDPT4_5819999999_13</vt:lpstr>
      <vt:lpstr>GMIC_22A_SCDPT4!SCDPT4_5819999999_14</vt:lpstr>
      <vt:lpstr>GMIC_22A_SCDPT4!SCDPT4_5819999999_15</vt:lpstr>
      <vt:lpstr>GMIC_22A_SCDPT4!SCDPT4_5819999999_16</vt:lpstr>
      <vt:lpstr>GMIC_22A_SCDPT4!SCDPT4_5819999999_17</vt:lpstr>
      <vt:lpstr>GMIC_22A_SCDPT4!SCDPT4_5819999999_18</vt:lpstr>
      <vt:lpstr>GMIC_22A_SCDPT4!SCDPT4_5819999999_19</vt:lpstr>
      <vt:lpstr>GMIC_22A_SCDPT4!SCDPT4_5819999999_20</vt:lpstr>
      <vt:lpstr>GMIC_22A_SCDPT4!SCDPT4_5819999999_7</vt:lpstr>
      <vt:lpstr>GMIC_22A_SCDPT4!SCDPT4_5819999999_9</vt:lpstr>
      <vt:lpstr>GMIC_22A_SCDPT4!SCDPT4_581BEGINNG_1</vt:lpstr>
      <vt:lpstr>GMIC_22A_SCDPT4!SCDPT4_581BEGINNG_10</vt:lpstr>
      <vt:lpstr>GMIC_22A_SCDPT4!SCDPT4_581BEGINNG_11</vt:lpstr>
      <vt:lpstr>GMIC_22A_SCDPT4!SCDPT4_581BEGINNG_12</vt:lpstr>
      <vt:lpstr>GMIC_22A_SCDPT4!SCDPT4_581BEGINNG_13</vt:lpstr>
      <vt:lpstr>GMIC_22A_SCDPT4!SCDPT4_581BEGINNG_14</vt:lpstr>
      <vt:lpstr>GMIC_22A_SCDPT4!SCDPT4_581BEGINNG_15</vt:lpstr>
      <vt:lpstr>GMIC_22A_SCDPT4!SCDPT4_581BEGINNG_16</vt:lpstr>
      <vt:lpstr>GMIC_22A_SCDPT4!SCDPT4_581BEGINNG_17</vt:lpstr>
      <vt:lpstr>GMIC_22A_SCDPT4!SCDPT4_581BEGINNG_18</vt:lpstr>
      <vt:lpstr>GMIC_22A_SCDPT4!SCDPT4_581BEGINNG_19</vt:lpstr>
      <vt:lpstr>GMIC_22A_SCDPT4!SCDPT4_581BEGINNG_2</vt:lpstr>
      <vt:lpstr>GMIC_22A_SCDPT4!SCDPT4_581BEGINNG_20</vt:lpstr>
      <vt:lpstr>GMIC_22A_SCDPT4!SCDPT4_581BEGINNG_21</vt:lpstr>
      <vt:lpstr>GMIC_22A_SCDPT4!SCDPT4_581BEGINNG_22</vt:lpstr>
      <vt:lpstr>GMIC_22A_SCDPT4!SCDPT4_581BEGINNG_23</vt:lpstr>
      <vt:lpstr>GMIC_22A_SCDPT4!SCDPT4_581BEGINNG_24</vt:lpstr>
      <vt:lpstr>GMIC_22A_SCDPT4!SCDPT4_581BEGINNG_25</vt:lpstr>
      <vt:lpstr>GMIC_22A_SCDPT4!SCDPT4_581BEGINNG_26</vt:lpstr>
      <vt:lpstr>GMIC_22A_SCDPT4!SCDPT4_581BEGINNG_27</vt:lpstr>
      <vt:lpstr>GMIC_22A_SCDPT4!SCDPT4_581BEGINNG_3</vt:lpstr>
      <vt:lpstr>GMIC_22A_SCDPT4!SCDPT4_581BEGINNG_4</vt:lpstr>
      <vt:lpstr>GMIC_22A_SCDPT4!SCDPT4_581BEGINNG_5</vt:lpstr>
      <vt:lpstr>GMIC_22A_SCDPT4!SCDPT4_581BEGINNG_6</vt:lpstr>
      <vt:lpstr>GMIC_22A_SCDPT4!SCDPT4_581BEGINNG_7</vt:lpstr>
      <vt:lpstr>GMIC_22A_SCDPT4!SCDPT4_581BEGINNG_8</vt:lpstr>
      <vt:lpstr>GMIC_22A_SCDPT4!SCDPT4_581BEGINNG_9</vt:lpstr>
      <vt:lpstr>GMIC_22A_SCDPT4!SCDPT4_581ENDINGG_10</vt:lpstr>
      <vt:lpstr>GMIC_22A_SCDPT4!SCDPT4_581ENDINGG_11</vt:lpstr>
      <vt:lpstr>GMIC_22A_SCDPT4!SCDPT4_581ENDINGG_12</vt:lpstr>
      <vt:lpstr>GMIC_22A_SCDPT4!SCDPT4_581ENDINGG_13</vt:lpstr>
      <vt:lpstr>GMIC_22A_SCDPT4!SCDPT4_581ENDINGG_14</vt:lpstr>
      <vt:lpstr>GMIC_22A_SCDPT4!SCDPT4_581ENDINGG_15</vt:lpstr>
      <vt:lpstr>GMIC_22A_SCDPT4!SCDPT4_581ENDINGG_16</vt:lpstr>
      <vt:lpstr>GMIC_22A_SCDPT4!SCDPT4_581ENDINGG_17</vt:lpstr>
      <vt:lpstr>GMIC_22A_SCDPT4!SCDPT4_581ENDINGG_18</vt:lpstr>
      <vt:lpstr>GMIC_22A_SCDPT4!SCDPT4_581ENDINGG_19</vt:lpstr>
      <vt:lpstr>GMIC_22A_SCDPT4!SCDPT4_581ENDINGG_2</vt:lpstr>
      <vt:lpstr>GMIC_22A_SCDPT4!SCDPT4_581ENDINGG_20</vt:lpstr>
      <vt:lpstr>GMIC_22A_SCDPT4!SCDPT4_581ENDINGG_21</vt:lpstr>
      <vt:lpstr>GMIC_22A_SCDPT4!SCDPT4_581ENDINGG_22</vt:lpstr>
      <vt:lpstr>GMIC_22A_SCDPT4!SCDPT4_581ENDINGG_23</vt:lpstr>
      <vt:lpstr>GMIC_22A_SCDPT4!SCDPT4_581ENDINGG_24</vt:lpstr>
      <vt:lpstr>GMIC_22A_SCDPT4!SCDPT4_581ENDINGG_25</vt:lpstr>
      <vt:lpstr>GMIC_22A_SCDPT4!SCDPT4_581ENDINGG_26</vt:lpstr>
      <vt:lpstr>GMIC_22A_SCDPT4!SCDPT4_581ENDINGG_27</vt:lpstr>
      <vt:lpstr>GMIC_22A_SCDPT4!SCDPT4_581ENDINGG_3</vt:lpstr>
      <vt:lpstr>GMIC_22A_SCDPT4!SCDPT4_581ENDINGG_4</vt:lpstr>
      <vt:lpstr>GMIC_22A_SCDPT4!SCDPT4_581ENDINGG_5</vt:lpstr>
      <vt:lpstr>GMIC_22A_SCDPT4!SCDPT4_581ENDINGG_6</vt:lpstr>
      <vt:lpstr>GMIC_22A_SCDPT4!SCDPT4_581ENDINGG_7</vt:lpstr>
      <vt:lpstr>GMIC_22A_SCDPT4!SCDPT4_581ENDINGG_8</vt:lpstr>
      <vt:lpstr>GMIC_22A_SCDPT4!SCDPT4_581ENDINGG_9</vt:lpstr>
      <vt:lpstr>GMIC_22A_SCDPT4!SCDPT4_5910000000_Range</vt:lpstr>
      <vt:lpstr>GMIC_22A_SCDPT4!SCDPT4_5919999999_10</vt:lpstr>
      <vt:lpstr>GMIC_22A_SCDPT4!SCDPT4_5919999999_11</vt:lpstr>
      <vt:lpstr>GMIC_22A_SCDPT4!SCDPT4_5919999999_12</vt:lpstr>
      <vt:lpstr>GMIC_22A_SCDPT4!SCDPT4_5919999999_13</vt:lpstr>
      <vt:lpstr>GMIC_22A_SCDPT4!SCDPT4_5919999999_14</vt:lpstr>
      <vt:lpstr>GMIC_22A_SCDPT4!SCDPT4_5919999999_15</vt:lpstr>
      <vt:lpstr>GMIC_22A_SCDPT4!SCDPT4_5919999999_16</vt:lpstr>
      <vt:lpstr>GMIC_22A_SCDPT4!SCDPT4_5919999999_17</vt:lpstr>
      <vt:lpstr>GMIC_22A_SCDPT4!SCDPT4_5919999999_18</vt:lpstr>
      <vt:lpstr>GMIC_22A_SCDPT4!SCDPT4_5919999999_19</vt:lpstr>
      <vt:lpstr>GMIC_22A_SCDPT4!SCDPT4_5919999999_20</vt:lpstr>
      <vt:lpstr>GMIC_22A_SCDPT4!SCDPT4_5919999999_7</vt:lpstr>
      <vt:lpstr>GMIC_22A_SCDPT4!SCDPT4_5919999999_9</vt:lpstr>
      <vt:lpstr>GMIC_22A_SCDPT4!SCDPT4_591BEGINNG_1</vt:lpstr>
      <vt:lpstr>GMIC_22A_SCDPT4!SCDPT4_591BEGINNG_10</vt:lpstr>
      <vt:lpstr>GMIC_22A_SCDPT4!SCDPT4_591BEGINNG_11</vt:lpstr>
      <vt:lpstr>GMIC_22A_SCDPT4!SCDPT4_591BEGINNG_12</vt:lpstr>
      <vt:lpstr>GMIC_22A_SCDPT4!SCDPT4_591BEGINNG_13</vt:lpstr>
      <vt:lpstr>GMIC_22A_SCDPT4!SCDPT4_591BEGINNG_14</vt:lpstr>
      <vt:lpstr>GMIC_22A_SCDPT4!SCDPT4_591BEGINNG_15</vt:lpstr>
      <vt:lpstr>GMIC_22A_SCDPT4!SCDPT4_591BEGINNG_16</vt:lpstr>
      <vt:lpstr>GMIC_22A_SCDPT4!SCDPT4_591BEGINNG_17</vt:lpstr>
      <vt:lpstr>GMIC_22A_SCDPT4!SCDPT4_591BEGINNG_18</vt:lpstr>
      <vt:lpstr>GMIC_22A_SCDPT4!SCDPT4_591BEGINNG_19</vt:lpstr>
      <vt:lpstr>GMIC_22A_SCDPT4!SCDPT4_591BEGINNG_2</vt:lpstr>
      <vt:lpstr>GMIC_22A_SCDPT4!SCDPT4_591BEGINNG_20</vt:lpstr>
      <vt:lpstr>GMIC_22A_SCDPT4!SCDPT4_591BEGINNG_21</vt:lpstr>
      <vt:lpstr>GMIC_22A_SCDPT4!SCDPT4_591BEGINNG_22</vt:lpstr>
      <vt:lpstr>GMIC_22A_SCDPT4!SCDPT4_591BEGINNG_23</vt:lpstr>
      <vt:lpstr>GMIC_22A_SCDPT4!SCDPT4_591BEGINNG_24</vt:lpstr>
      <vt:lpstr>GMIC_22A_SCDPT4!SCDPT4_591BEGINNG_25</vt:lpstr>
      <vt:lpstr>GMIC_22A_SCDPT4!SCDPT4_591BEGINNG_26</vt:lpstr>
      <vt:lpstr>GMIC_22A_SCDPT4!SCDPT4_591BEGINNG_27</vt:lpstr>
      <vt:lpstr>GMIC_22A_SCDPT4!SCDPT4_591BEGINNG_3</vt:lpstr>
      <vt:lpstr>GMIC_22A_SCDPT4!SCDPT4_591BEGINNG_4</vt:lpstr>
      <vt:lpstr>GMIC_22A_SCDPT4!SCDPT4_591BEGINNG_5</vt:lpstr>
      <vt:lpstr>GMIC_22A_SCDPT4!SCDPT4_591BEGINNG_6</vt:lpstr>
      <vt:lpstr>GMIC_22A_SCDPT4!SCDPT4_591BEGINNG_7</vt:lpstr>
      <vt:lpstr>GMIC_22A_SCDPT4!SCDPT4_591BEGINNG_8</vt:lpstr>
      <vt:lpstr>GMIC_22A_SCDPT4!SCDPT4_591BEGINNG_9</vt:lpstr>
      <vt:lpstr>GMIC_22A_SCDPT4!SCDPT4_591ENDINGG_10</vt:lpstr>
      <vt:lpstr>GMIC_22A_SCDPT4!SCDPT4_591ENDINGG_11</vt:lpstr>
      <vt:lpstr>GMIC_22A_SCDPT4!SCDPT4_591ENDINGG_12</vt:lpstr>
      <vt:lpstr>GMIC_22A_SCDPT4!SCDPT4_591ENDINGG_13</vt:lpstr>
      <vt:lpstr>GMIC_22A_SCDPT4!SCDPT4_591ENDINGG_14</vt:lpstr>
      <vt:lpstr>GMIC_22A_SCDPT4!SCDPT4_591ENDINGG_15</vt:lpstr>
      <vt:lpstr>GMIC_22A_SCDPT4!SCDPT4_591ENDINGG_16</vt:lpstr>
      <vt:lpstr>GMIC_22A_SCDPT4!SCDPT4_591ENDINGG_17</vt:lpstr>
      <vt:lpstr>GMIC_22A_SCDPT4!SCDPT4_591ENDINGG_18</vt:lpstr>
      <vt:lpstr>GMIC_22A_SCDPT4!SCDPT4_591ENDINGG_19</vt:lpstr>
      <vt:lpstr>GMIC_22A_SCDPT4!SCDPT4_591ENDINGG_2</vt:lpstr>
      <vt:lpstr>GMIC_22A_SCDPT4!SCDPT4_591ENDINGG_20</vt:lpstr>
      <vt:lpstr>GMIC_22A_SCDPT4!SCDPT4_591ENDINGG_21</vt:lpstr>
      <vt:lpstr>GMIC_22A_SCDPT4!SCDPT4_591ENDINGG_22</vt:lpstr>
      <vt:lpstr>GMIC_22A_SCDPT4!SCDPT4_591ENDINGG_23</vt:lpstr>
      <vt:lpstr>GMIC_22A_SCDPT4!SCDPT4_591ENDINGG_24</vt:lpstr>
      <vt:lpstr>GMIC_22A_SCDPT4!SCDPT4_591ENDINGG_25</vt:lpstr>
      <vt:lpstr>GMIC_22A_SCDPT4!SCDPT4_591ENDINGG_26</vt:lpstr>
      <vt:lpstr>GMIC_22A_SCDPT4!SCDPT4_591ENDINGG_27</vt:lpstr>
      <vt:lpstr>GMIC_22A_SCDPT4!SCDPT4_591ENDINGG_3</vt:lpstr>
      <vt:lpstr>GMIC_22A_SCDPT4!SCDPT4_591ENDINGG_4</vt:lpstr>
      <vt:lpstr>GMIC_22A_SCDPT4!SCDPT4_591ENDINGG_5</vt:lpstr>
      <vt:lpstr>GMIC_22A_SCDPT4!SCDPT4_591ENDINGG_6</vt:lpstr>
      <vt:lpstr>GMIC_22A_SCDPT4!SCDPT4_591ENDINGG_7</vt:lpstr>
      <vt:lpstr>GMIC_22A_SCDPT4!SCDPT4_591ENDINGG_8</vt:lpstr>
      <vt:lpstr>GMIC_22A_SCDPT4!SCDPT4_591ENDINGG_9</vt:lpstr>
      <vt:lpstr>GMIC_22A_SCDPT4!SCDPT4_5920000000_Range</vt:lpstr>
      <vt:lpstr>GMIC_22A_SCDPT4!SCDPT4_5929999999_10</vt:lpstr>
      <vt:lpstr>GMIC_22A_SCDPT4!SCDPT4_5929999999_11</vt:lpstr>
      <vt:lpstr>GMIC_22A_SCDPT4!SCDPT4_5929999999_12</vt:lpstr>
      <vt:lpstr>GMIC_22A_SCDPT4!SCDPT4_5929999999_13</vt:lpstr>
      <vt:lpstr>GMIC_22A_SCDPT4!SCDPT4_5929999999_14</vt:lpstr>
      <vt:lpstr>GMIC_22A_SCDPT4!SCDPT4_5929999999_15</vt:lpstr>
      <vt:lpstr>GMIC_22A_SCDPT4!SCDPT4_5929999999_16</vt:lpstr>
      <vt:lpstr>GMIC_22A_SCDPT4!SCDPT4_5929999999_17</vt:lpstr>
      <vt:lpstr>GMIC_22A_SCDPT4!SCDPT4_5929999999_18</vt:lpstr>
      <vt:lpstr>GMIC_22A_SCDPT4!SCDPT4_5929999999_19</vt:lpstr>
      <vt:lpstr>GMIC_22A_SCDPT4!SCDPT4_5929999999_20</vt:lpstr>
      <vt:lpstr>GMIC_22A_SCDPT4!SCDPT4_5929999999_7</vt:lpstr>
      <vt:lpstr>GMIC_22A_SCDPT4!SCDPT4_5929999999_9</vt:lpstr>
      <vt:lpstr>GMIC_22A_SCDPT4!SCDPT4_592BEGINNG_1</vt:lpstr>
      <vt:lpstr>GMIC_22A_SCDPT4!SCDPT4_592BEGINNG_10</vt:lpstr>
      <vt:lpstr>GMIC_22A_SCDPT4!SCDPT4_592BEGINNG_11</vt:lpstr>
      <vt:lpstr>GMIC_22A_SCDPT4!SCDPT4_592BEGINNG_12</vt:lpstr>
      <vt:lpstr>GMIC_22A_SCDPT4!SCDPT4_592BEGINNG_13</vt:lpstr>
      <vt:lpstr>GMIC_22A_SCDPT4!SCDPT4_592BEGINNG_14</vt:lpstr>
      <vt:lpstr>GMIC_22A_SCDPT4!SCDPT4_592BEGINNG_15</vt:lpstr>
      <vt:lpstr>GMIC_22A_SCDPT4!SCDPT4_592BEGINNG_16</vt:lpstr>
      <vt:lpstr>GMIC_22A_SCDPT4!SCDPT4_592BEGINNG_17</vt:lpstr>
      <vt:lpstr>GMIC_22A_SCDPT4!SCDPT4_592BEGINNG_18</vt:lpstr>
      <vt:lpstr>GMIC_22A_SCDPT4!SCDPT4_592BEGINNG_19</vt:lpstr>
      <vt:lpstr>GMIC_22A_SCDPT4!SCDPT4_592BEGINNG_2</vt:lpstr>
      <vt:lpstr>GMIC_22A_SCDPT4!SCDPT4_592BEGINNG_20</vt:lpstr>
      <vt:lpstr>GMIC_22A_SCDPT4!SCDPT4_592BEGINNG_21</vt:lpstr>
      <vt:lpstr>GMIC_22A_SCDPT4!SCDPT4_592BEGINNG_22</vt:lpstr>
      <vt:lpstr>GMIC_22A_SCDPT4!SCDPT4_592BEGINNG_23</vt:lpstr>
      <vt:lpstr>GMIC_22A_SCDPT4!SCDPT4_592BEGINNG_24</vt:lpstr>
      <vt:lpstr>GMIC_22A_SCDPT4!SCDPT4_592BEGINNG_25</vt:lpstr>
      <vt:lpstr>GMIC_22A_SCDPT4!SCDPT4_592BEGINNG_26</vt:lpstr>
      <vt:lpstr>GMIC_22A_SCDPT4!SCDPT4_592BEGINNG_27</vt:lpstr>
      <vt:lpstr>GMIC_22A_SCDPT4!SCDPT4_592BEGINNG_3</vt:lpstr>
      <vt:lpstr>GMIC_22A_SCDPT4!SCDPT4_592BEGINNG_4</vt:lpstr>
      <vt:lpstr>GMIC_22A_SCDPT4!SCDPT4_592BEGINNG_5</vt:lpstr>
      <vt:lpstr>GMIC_22A_SCDPT4!SCDPT4_592BEGINNG_6</vt:lpstr>
      <vt:lpstr>GMIC_22A_SCDPT4!SCDPT4_592BEGINNG_7</vt:lpstr>
      <vt:lpstr>GMIC_22A_SCDPT4!SCDPT4_592BEGINNG_8</vt:lpstr>
      <vt:lpstr>GMIC_22A_SCDPT4!SCDPT4_592BEGINNG_9</vt:lpstr>
      <vt:lpstr>GMIC_22A_SCDPT4!SCDPT4_592ENDINGG_10</vt:lpstr>
      <vt:lpstr>GMIC_22A_SCDPT4!SCDPT4_592ENDINGG_11</vt:lpstr>
      <vt:lpstr>GMIC_22A_SCDPT4!SCDPT4_592ENDINGG_12</vt:lpstr>
      <vt:lpstr>GMIC_22A_SCDPT4!SCDPT4_592ENDINGG_13</vt:lpstr>
      <vt:lpstr>GMIC_22A_SCDPT4!SCDPT4_592ENDINGG_14</vt:lpstr>
      <vt:lpstr>GMIC_22A_SCDPT4!SCDPT4_592ENDINGG_15</vt:lpstr>
      <vt:lpstr>GMIC_22A_SCDPT4!SCDPT4_592ENDINGG_16</vt:lpstr>
      <vt:lpstr>GMIC_22A_SCDPT4!SCDPT4_592ENDINGG_17</vt:lpstr>
      <vt:lpstr>GMIC_22A_SCDPT4!SCDPT4_592ENDINGG_18</vt:lpstr>
      <vt:lpstr>GMIC_22A_SCDPT4!SCDPT4_592ENDINGG_19</vt:lpstr>
      <vt:lpstr>GMIC_22A_SCDPT4!SCDPT4_592ENDINGG_2</vt:lpstr>
      <vt:lpstr>GMIC_22A_SCDPT4!SCDPT4_592ENDINGG_20</vt:lpstr>
      <vt:lpstr>GMIC_22A_SCDPT4!SCDPT4_592ENDINGG_21</vt:lpstr>
      <vt:lpstr>GMIC_22A_SCDPT4!SCDPT4_592ENDINGG_22</vt:lpstr>
      <vt:lpstr>GMIC_22A_SCDPT4!SCDPT4_592ENDINGG_23</vt:lpstr>
      <vt:lpstr>GMIC_22A_SCDPT4!SCDPT4_592ENDINGG_24</vt:lpstr>
      <vt:lpstr>GMIC_22A_SCDPT4!SCDPT4_592ENDINGG_25</vt:lpstr>
      <vt:lpstr>GMIC_22A_SCDPT4!SCDPT4_592ENDINGG_26</vt:lpstr>
      <vt:lpstr>GMIC_22A_SCDPT4!SCDPT4_592ENDINGG_27</vt:lpstr>
      <vt:lpstr>GMIC_22A_SCDPT4!SCDPT4_592ENDINGG_3</vt:lpstr>
      <vt:lpstr>GMIC_22A_SCDPT4!SCDPT4_592ENDINGG_4</vt:lpstr>
      <vt:lpstr>GMIC_22A_SCDPT4!SCDPT4_592ENDINGG_5</vt:lpstr>
      <vt:lpstr>GMIC_22A_SCDPT4!SCDPT4_592ENDINGG_6</vt:lpstr>
      <vt:lpstr>GMIC_22A_SCDPT4!SCDPT4_592ENDINGG_7</vt:lpstr>
      <vt:lpstr>GMIC_22A_SCDPT4!SCDPT4_592ENDINGG_8</vt:lpstr>
      <vt:lpstr>GMIC_22A_SCDPT4!SCDPT4_592ENDINGG_9</vt:lpstr>
      <vt:lpstr>GMIC_22A_SCDPT4!SCDPT4_5989999997_10</vt:lpstr>
      <vt:lpstr>GMIC_22A_SCDPT4!SCDPT4_5989999997_11</vt:lpstr>
      <vt:lpstr>GMIC_22A_SCDPT4!SCDPT4_5989999997_12</vt:lpstr>
      <vt:lpstr>GMIC_22A_SCDPT4!SCDPT4_5989999997_13</vt:lpstr>
      <vt:lpstr>GMIC_22A_SCDPT4!SCDPT4_5989999997_14</vt:lpstr>
      <vt:lpstr>GMIC_22A_SCDPT4!SCDPT4_5989999997_15</vt:lpstr>
      <vt:lpstr>GMIC_22A_SCDPT4!SCDPT4_5989999997_16</vt:lpstr>
      <vt:lpstr>GMIC_22A_SCDPT4!SCDPT4_5989999997_17</vt:lpstr>
      <vt:lpstr>GMIC_22A_SCDPT4!SCDPT4_5989999997_18</vt:lpstr>
      <vt:lpstr>GMIC_22A_SCDPT4!SCDPT4_5989999997_19</vt:lpstr>
      <vt:lpstr>GMIC_22A_SCDPT4!SCDPT4_5989999997_20</vt:lpstr>
      <vt:lpstr>GMIC_22A_SCDPT4!SCDPT4_5989999997_7</vt:lpstr>
      <vt:lpstr>GMIC_22A_SCDPT4!SCDPT4_5989999997_9</vt:lpstr>
      <vt:lpstr>GMIC_22A_SCDPT4!SCDPT4_5989999998_10</vt:lpstr>
      <vt:lpstr>GMIC_22A_SCDPT4!SCDPT4_5989999998_11</vt:lpstr>
      <vt:lpstr>GMIC_22A_SCDPT4!SCDPT4_5989999998_12</vt:lpstr>
      <vt:lpstr>GMIC_22A_SCDPT4!SCDPT4_5989999998_13</vt:lpstr>
      <vt:lpstr>GMIC_22A_SCDPT4!SCDPT4_5989999998_14</vt:lpstr>
      <vt:lpstr>GMIC_22A_SCDPT4!SCDPT4_5989999998_15</vt:lpstr>
      <vt:lpstr>GMIC_22A_SCDPT4!SCDPT4_5989999998_16</vt:lpstr>
      <vt:lpstr>GMIC_22A_SCDPT4!SCDPT4_5989999998_17</vt:lpstr>
      <vt:lpstr>GMIC_22A_SCDPT4!SCDPT4_5989999998_18</vt:lpstr>
      <vt:lpstr>GMIC_22A_SCDPT4!SCDPT4_5989999998_19</vt:lpstr>
      <vt:lpstr>GMIC_22A_SCDPT4!SCDPT4_5989999998_20</vt:lpstr>
      <vt:lpstr>GMIC_22A_SCDPT4!SCDPT4_5989999998_7</vt:lpstr>
      <vt:lpstr>GMIC_22A_SCDPT4!SCDPT4_5989999998_9</vt:lpstr>
      <vt:lpstr>GMIC_22A_SCDPT4!SCDPT4_5989999999_10</vt:lpstr>
      <vt:lpstr>GMIC_22A_SCDPT4!SCDPT4_5989999999_11</vt:lpstr>
      <vt:lpstr>GMIC_22A_SCDPT4!SCDPT4_5989999999_12</vt:lpstr>
      <vt:lpstr>GMIC_22A_SCDPT4!SCDPT4_5989999999_13</vt:lpstr>
      <vt:lpstr>GMIC_22A_SCDPT4!SCDPT4_5989999999_14</vt:lpstr>
      <vt:lpstr>GMIC_22A_SCDPT4!SCDPT4_5989999999_15</vt:lpstr>
      <vt:lpstr>GMIC_22A_SCDPT4!SCDPT4_5989999999_16</vt:lpstr>
      <vt:lpstr>GMIC_22A_SCDPT4!SCDPT4_5989999999_17</vt:lpstr>
      <vt:lpstr>GMIC_22A_SCDPT4!SCDPT4_5989999999_18</vt:lpstr>
      <vt:lpstr>GMIC_22A_SCDPT4!SCDPT4_5989999999_19</vt:lpstr>
      <vt:lpstr>GMIC_22A_SCDPT4!SCDPT4_5989999999_20</vt:lpstr>
      <vt:lpstr>GMIC_22A_SCDPT4!SCDPT4_5989999999_7</vt:lpstr>
      <vt:lpstr>GMIC_22A_SCDPT4!SCDPT4_5989999999_9</vt:lpstr>
      <vt:lpstr>GMIC_22A_SCDPT4!SCDPT4_5999999999_10</vt:lpstr>
      <vt:lpstr>GMIC_22A_SCDPT4!SCDPT4_5999999999_11</vt:lpstr>
      <vt:lpstr>GMIC_22A_SCDPT4!SCDPT4_5999999999_12</vt:lpstr>
      <vt:lpstr>GMIC_22A_SCDPT4!SCDPT4_5999999999_13</vt:lpstr>
      <vt:lpstr>GMIC_22A_SCDPT4!SCDPT4_5999999999_14</vt:lpstr>
      <vt:lpstr>GMIC_22A_SCDPT4!SCDPT4_5999999999_15</vt:lpstr>
      <vt:lpstr>GMIC_22A_SCDPT4!SCDPT4_5999999999_16</vt:lpstr>
      <vt:lpstr>GMIC_22A_SCDPT4!SCDPT4_5999999999_17</vt:lpstr>
      <vt:lpstr>GMIC_22A_SCDPT4!SCDPT4_5999999999_18</vt:lpstr>
      <vt:lpstr>GMIC_22A_SCDPT4!SCDPT4_5999999999_19</vt:lpstr>
      <vt:lpstr>GMIC_22A_SCDPT4!SCDPT4_5999999999_20</vt:lpstr>
      <vt:lpstr>GMIC_22A_SCDPT4!SCDPT4_5999999999_7</vt:lpstr>
      <vt:lpstr>GMIC_22A_SCDPT4!SCDPT4_5999999999_9</vt:lpstr>
      <vt:lpstr>GMIC_22A_SCDPT4!SCDPT4_6009999999_10</vt:lpstr>
      <vt:lpstr>GMIC_22A_SCDPT4!SCDPT4_6009999999_11</vt:lpstr>
      <vt:lpstr>GMIC_22A_SCDPT4!SCDPT4_6009999999_12</vt:lpstr>
      <vt:lpstr>GMIC_22A_SCDPT4!SCDPT4_6009999999_13</vt:lpstr>
      <vt:lpstr>GMIC_22A_SCDPT4!SCDPT4_6009999999_14</vt:lpstr>
      <vt:lpstr>GMIC_22A_SCDPT4!SCDPT4_6009999999_15</vt:lpstr>
      <vt:lpstr>GMIC_22A_SCDPT4!SCDPT4_6009999999_16</vt:lpstr>
      <vt:lpstr>GMIC_22A_SCDPT4!SCDPT4_6009999999_17</vt:lpstr>
      <vt:lpstr>GMIC_22A_SCDPT4!SCDPT4_6009999999_18</vt:lpstr>
      <vt:lpstr>GMIC_22A_SCDPT4!SCDPT4_6009999999_19</vt:lpstr>
      <vt:lpstr>GMIC_22A_SCDPT4!SCDPT4_6009999999_20</vt:lpstr>
      <vt:lpstr>GMIC_22A_SCDPT4!SCDPT4_6009999999_7</vt:lpstr>
      <vt:lpstr>GMIC_22A_SCDPT4!SCDPT4_6009999999_9</vt:lpstr>
      <vt:lpstr>GMIC_22A_SCDPT5!SCDPT5_0100000000_Range</vt:lpstr>
      <vt:lpstr>GMIC_22A_SCDPT5!SCDPT5_0109999999_10</vt:lpstr>
      <vt:lpstr>GMIC_22A_SCDPT5!SCDPT5_0109999999_11</vt:lpstr>
      <vt:lpstr>GMIC_22A_SCDPT5!SCDPT5_0109999999_12</vt:lpstr>
      <vt:lpstr>GMIC_22A_SCDPT5!SCDPT5_0109999999_13</vt:lpstr>
      <vt:lpstr>GMIC_22A_SCDPT5!SCDPT5_0109999999_14</vt:lpstr>
      <vt:lpstr>GMIC_22A_SCDPT5!SCDPT5_0109999999_15</vt:lpstr>
      <vt:lpstr>GMIC_22A_SCDPT5!SCDPT5_0109999999_16</vt:lpstr>
      <vt:lpstr>GMIC_22A_SCDPT5!SCDPT5_0109999999_17</vt:lpstr>
      <vt:lpstr>GMIC_22A_SCDPT5!SCDPT5_0109999999_18</vt:lpstr>
      <vt:lpstr>GMIC_22A_SCDPT5!SCDPT5_0109999999_19</vt:lpstr>
      <vt:lpstr>GMIC_22A_SCDPT5!SCDPT5_0109999999_20</vt:lpstr>
      <vt:lpstr>GMIC_22A_SCDPT5!SCDPT5_0109999999_21</vt:lpstr>
      <vt:lpstr>GMIC_22A_SCDPT5!SCDPT5_0109999999_8</vt:lpstr>
      <vt:lpstr>GMIC_22A_SCDPT5!SCDPT5_0109999999_9</vt:lpstr>
      <vt:lpstr>GMIC_22A_SCDPT5!SCDPT5_010BEGINNG_1</vt:lpstr>
      <vt:lpstr>GMIC_22A_SCDPT5!SCDPT5_010BEGINNG_10</vt:lpstr>
      <vt:lpstr>GMIC_22A_SCDPT5!SCDPT5_010BEGINNG_11</vt:lpstr>
      <vt:lpstr>GMIC_22A_SCDPT5!SCDPT5_010BEGINNG_12</vt:lpstr>
      <vt:lpstr>GMIC_22A_SCDPT5!SCDPT5_010BEGINNG_13</vt:lpstr>
      <vt:lpstr>GMIC_22A_SCDPT5!SCDPT5_010BEGINNG_14</vt:lpstr>
      <vt:lpstr>GMIC_22A_SCDPT5!SCDPT5_010BEGINNG_15</vt:lpstr>
      <vt:lpstr>GMIC_22A_SCDPT5!SCDPT5_010BEGINNG_16</vt:lpstr>
      <vt:lpstr>GMIC_22A_SCDPT5!SCDPT5_010BEGINNG_17</vt:lpstr>
      <vt:lpstr>GMIC_22A_SCDPT5!SCDPT5_010BEGINNG_18</vt:lpstr>
      <vt:lpstr>GMIC_22A_SCDPT5!SCDPT5_010BEGINNG_19</vt:lpstr>
      <vt:lpstr>GMIC_22A_SCDPT5!SCDPT5_010BEGINNG_2</vt:lpstr>
      <vt:lpstr>GMIC_22A_SCDPT5!SCDPT5_010BEGINNG_20</vt:lpstr>
      <vt:lpstr>GMIC_22A_SCDPT5!SCDPT5_010BEGINNG_21</vt:lpstr>
      <vt:lpstr>GMIC_22A_SCDPT5!SCDPT5_010BEGINNG_22</vt:lpstr>
      <vt:lpstr>GMIC_22A_SCDPT5!SCDPT5_010BEGINNG_23</vt:lpstr>
      <vt:lpstr>GMIC_22A_SCDPT5!SCDPT5_010BEGINNG_24</vt:lpstr>
      <vt:lpstr>GMIC_22A_SCDPT5!SCDPT5_010BEGINNG_25</vt:lpstr>
      <vt:lpstr>GMIC_22A_SCDPT5!SCDPT5_010BEGINNG_26</vt:lpstr>
      <vt:lpstr>GMIC_22A_SCDPT5!SCDPT5_010BEGINNG_27</vt:lpstr>
      <vt:lpstr>GMIC_22A_SCDPT5!SCDPT5_010BEGINNG_3</vt:lpstr>
      <vt:lpstr>GMIC_22A_SCDPT5!SCDPT5_010BEGINNG_4</vt:lpstr>
      <vt:lpstr>GMIC_22A_SCDPT5!SCDPT5_010BEGINNG_5</vt:lpstr>
      <vt:lpstr>GMIC_22A_SCDPT5!SCDPT5_010BEGINNG_6</vt:lpstr>
      <vt:lpstr>GMIC_22A_SCDPT5!SCDPT5_010BEGINNG_7</vt:lpstr>
      <vt:lpstr>GMIC_22A_SCDPT5!SCDPT5_010BEGINNG_8</vt:lpstr>
      <vt:lpstr>GMIC_22A_SCDPT5!SCDPT5_010BEGINNG_9</vt:lpstr>
      <vt:lpstr>GMIC_22A_SCDPT5!SCDPT5_010ENDINGG_10</vt:lpstr>
      <vt:lpstr>GMIC_22A_SCDPT5!SCDPT5_010ENDINGG_11</vt:lpstr>
      <vt:lpstr>GMIC_22A_SCDPT5!SCDPT5_010ENDINGG_12</vt:lpstr>
      <vt:lpstr>GMIC_22A_SCDPT5!SCDPT5_010ENDINGG_13</vt:lpstr>
      <vt:lpstr>GMIC_22A_SCDPT5!SCDPT5_010ENDINGG_14</vt:lpstr>
      <vt:lpstr>GMIC_22A_SCDPT5!SCDPT5_010ENDINGG_15</vt:lpstr>
      <vt:lpstr>GMIC_22A_SCDPT5!SCDPT5_010ENDINGG_16</vt:lpstr>
      <vt:lpstr>GMIC_22A_SCDPT5!SCDPT5_010ENDINGG_17</vt:lpstr>
      <vt:lpstr>GMIC_22A_SCDPT5!SCDPT5_010ENDINGG_18</vt:lpstr>
      <vt:lpstr>GMIC_22A_SCDPT5!SCDPT5_010ENDINGG_19</vt:lpstr>
      <vt:lpstr>GMIC_22A_SCDPT5!SCDPT5_010ENDINGG_2</vt:lpstr>
      <vt:lpstr>GMIC_22A_SCDPT5!SCDPT5_010ENDINGG_20</vt:lpstr>
      <vt:lpstr>GMIC_22A_SCDPT5!SCDPT5_010ENDINGG_21</vt:lpstr>
      <vt:lpstr>GMIC_22A_SCDPT5!SCDPT5_010ENDINGG_22</vt:lpstr>
      <vt:lpstr>GMIC_22A_SCDPT5!SCDPT5_010ENDINGG_23</vt:lpstr>
      <vt:lpstr>GMIC_22A_SCDPT5!SCDPT5_010ENDINGG_24</vt:lpstr>
      <vt:lpstr>GMIC_22A_SCDPT5!SCDPT5_010ENDINGG_25</vt:lpstr>
      <vt:lpstr>GMIC_22A_SCDPT5!SCDPT5_010ENDINGG_26</vt:lpstr>
      <vt:lpstr>GMIC_22A_SCDPT5!SCDPT5_010ENDINGG_27</vt:lpstr>
      <vt:lpstr>GMIC_22A_SCDPT5!SCDPT5_010ENDINGG_3</vt:lpstr>
      <vt:lpstr>GMIC_22A_SCDPT5!SCDPT5_010ENDINGG_4</vt:lpstr>
      <vt:lpstr>GMIC_22A_SCDPT5!SCDPT5_010ENDINGG_5</vt:lpstr>
      <vt:lpstr>GMIC_22A_SCDPT5!SCDPT5_010ENDINGG_6</vt:lpstr>
      <vt:lpstr>GMIC_22A_SCDPT5!SCDPT5_010ENDINGG_7</vt:lpstr>
      <vt:lpstr>GMIC_22A_SCDPT5!SCDPT5_010ENDINGG_8</vt:lpstr>
      <vt:lpstr>GMIC_22A_SCDPT5!SCDPT5_010ENDINGG_9</vt:lpstr>
      <vt:lpstr>GMIC_22A_SCDPT5!SCDPT5_0300000000_Range</vt:lpstr>
      <vt:lpstr>GMIC_22A_SCDPT5!SCDPT5_0309999999_10</vt:lpstr>
      <vt:lpstr>GMIC_22A_SCDPT5!SCDPT5_0309999999_11</vt:lpstr>
      <vt:lpstr>GMIC_22A_SCDPT5!SCDPT5_0309999999_12</vt:lpstr>
      <vt:lpstr>GMIC_22A_SCDPT5!SCDPT5_0309999999_13</vt:lpstr>
      <vt:lpstr>GMIC_22A_SCDPT5!SCDPT5_0309999999_14</vt:lpstr>
      <vt:lpstr>GMIC_22A_SCDPT5!SCDPT5_0309999999_15</vt:lpstr>
      <vt:lpstr>GMIC_22A_SCDPT5!SCDPT5_0309999999_16</vt:lpstr>
      <vt:lpstr>GMIC_22A_SCDPT5!SCDPT5_0309999999_17</vt:lpstr>
      <vt:lpstr>GMIC_22A_SCDPT5!SCDPT5_0309999999_18</vt:lpstr>
      <vt:lpstr>GMIC_22A_SCDPT5!SCDPT5_0309999999_19</vt:lpstr>
      <vt:lpstr>GMIC_22A_SCDPT5!SCDPT5_0309999999_20</vt:lpstr>
      <vt:lpstr>GMIC_22A_SCDPT5!SCDPT5_0309999999_21</vt:lpstr>
      <vt:lpstr>GMIC_22A_SCDPT5!SCDPT5_0309999999_8</vt:lpstr>
      <vt:lpstr>GMIC_22A_SCDPT5!SCDPT5_0309999999_9</vt:lpstr>
      <vt:lpstr>GMIC_22A_SCDPT5!SCDPT5_030BEGINNG_1</vt:lpstr>
      <vt:lpstr>GMIC_22A_SCDPT5!SCDPT5_030BEGINNG_10</vt:lpstr>
      <vt:lpstr>GMIC_22A_SCDPT5!SCDPT5_030BEGINNG_11</vt:lpstr>
      <vt:lpstr>GMIC_22A_SCDPT5!SCDPT5_030BEGINNG_12</vt:lpstr>
      <vt:lpstr>GMIC_22A_SCDPT5!SCDPT5_030BEGINNG_13</vt:lpstr>
      <vt:lpstr>GMIC_22A_SCDPT5!SCDPT5_030BEGINNG_14</vt:lpstr>
      <vt:lpstr>GMIC_22A_SCDPT5!SCDPT5_030BEGINNG_15</vt:lpstr>
      <vt:lpstr>GMIC_22A_SCDPT5!SCDPT5_030BEGINNG_16</vt:lpstr>
      <vt:lpstr>GMIC_22A_SCDPT5!SCDPT5_030BEGINNG_17</vt:lpstr>
      <vt:lpstr>GMIC_22A_SCDPT5!SCDPT5_030BEGINNG_18</vt:lpstr>
      <vt:lpstr>GMIC_22A_SCDPT5!SCDPT5_030BEGINNG_19</vt:lpstr>
      <vt:lpstr>GMIC_22A_SCDPT5!SCDPT5_030BEGINNG_2</vt:lpstr>
      <vt:lpstr>GMIC_22A_SCDPT5!SCDPT5_030BEGINNG_20</vt:lpstr>
      <vt:lpstr>GMIC_22A_SCDPT5!SCDPT5_030BEGINNG_21</vt:lpstr>
      <vt:lpstr>GMIC_22A_SCDPT5!SCDPT5_030BEGINNG_22</vt:lpstr>
      <vt:lpstr>GMIC_22A_SCDPT5!SCDPT5_030BEGINNG_23</vt:lpstr>
      <vt:lpstr>GMIC_22A_SCDPT5!SCDPT5_030BEGINNG_24</vt:lpstr>
      <vt:lpstr>GMIC_22A_SCDPT5!SCDPT5_030BEGINNG_25</vt:lpstr>
      <vt:lpstr>GMIC_22A_SCDPT5!SCDPT5_030BEGINNG_26</vt:lpstr>
      <vt:lpstr>GMIC_22A_SCDPT5!SCDPT5_030BEGINNG_27</vt:lpstr>
      <vt:lpstr>GMIC_22A_SCDPT5!SCDPT5_030BEGINNG_3</vt:lpstr>
      <vt:lpstr>GMIC_22A_SCDPT5!SCDPT5_030BEGINNG_4</vt:lpstr>
      <vt:lpstr>GMIC_22A_SCDPT5!SCDPT5_030BEGINNG_5</vt:lpstr>
      <vt:lpstr>GMIC_22A_SCDPT5!SCDPT5_030BEGINNG_6</vt:lpstr>
      <vt:lpstr>GMIC_22A_SCDPT5!SCDPT5_030BEGINNG_7</vt:lpstr>
      <vt:lpstr>GMIC_22A_SCDPT5!SCDPT5_030BEGINNG_8</vt:lpstr>
      <vt:lpstr>GMIC_22A_SCDPT5!SCDPT5_030BEGINNG_9</vt:lpstr>
      <vt:lpstr>GMIC_22A_SCDPT5!SCDPT5_030ENDINGG_10</vt:lpstr>
      <vt:lpstr>GMIC_22A_SCDPT5!SCDPT5_030ENDINGG_11</vt:lpstr>
      <vt:lpstr>GMIC_22A_SCDPT5!SCDPT5_030ENDINGG_12</vt:lpstr>
      <vt:lpstr>GMIC_22A_SCDPT5!SCDPT5_030ENDINGG_13</vt:lpstr>
      <vt:lpstr>GMIC_22A_SCDPT5!SCDPT5_030ENDINGG_14</vt:lpstr>
      <vt:lpstr>GMIC_22A_SCDPT5!SCDPT5_030ENDINGG_15</vt:lpstr>
      <vt:lpstr>GMIC_22A_SCDPT5!SCDPT5_030ENDINGG_16</vt:lpstr>
      <vt:lpstr>GMIC_22A_SCDPT5!SCDPT5_030ENDINGG_17</vt:lpstr>
      <vt:lpstr>GMIC_22A_SCDPT5!SCDPT5_030ENDINGG_18</vt:lpstr>
      <vt:lpstr>GMIC_22A_SCDPT5!SCDPT5_030ENDINGG_19</vt:lpstr>
      <vt:lpstr>GMIC_22A_SCDPT5!SCDPT5_030ENDINGG_2</vt:lpstr>
      <vt:lpstr>GMIC_22A_SCDPT5!SCDPT5_030ENDINGG_20</vt:lpstr>
      <vt:lpstr>GMIC_22A_SCDPT5!SCDPT5_030ENDINGG_21</vt:lpstr>
      <vt:lpstr>GMIC_22A_SCDPT5!SCDPT5_030ENDINGG_22</vt:lpstr>
      <vt:lpstr>GMIC_22A_SCDPT5!SCDPT5_030ENDINGG_23</vt:lpstr>
      <vt:lpstr>GMIC_22A_SCDPT5!SCDPT5_030ENDINGG_24</vt:lpstr>
      <vt:lpstr>GMIC_22A_SCDPT5!SCDPT5_030ENDINGG_25</vt:lpstr>
      <vt:lpstr>GMIC_22A_SCDPT5!SCDPT5_030ENDINGG_26</vt:lpstr>
      <vt:lpstr>GMIC_22A_SCDPT5!SCDPT5_030ENDINGG_27</vt:lpstr>
      <vt:lpstr>GMIC_22A_SCDPT5!SCDPT5_030ENDINGG_3</vt:lpstr>
      <vt:lpstr>GMIC_22A_SCDPT5!SCDPT5_030ENDINGG_4</vt:lpstr>
      <vt:lpstr>GMIC_22A_SCDPT5!SCDPT5_030ENDINGG_5</vt:lpstr>
      <vt:lpstr>GMIC_22A_SCDPT5!SCDPT5_030ENDINGG_6</vt:lpstr>
      <vt:lpstr>GMIC_22A_SCDPT5!SCDPT5_030ENDINGG_7</vt:lpstr>
      <vt:lpstr>GMIC_22A_SCDPT5!SCDPT5_030ENDINGG_8</vt:lpstr>
      <vt:lpstr>GMIC_22A_SCDPT5!SCDPT5_030ENDINGG_9</vt:lpstr>
      <vt:lpstr>GMIC_22A_SCDPT5!SCDPT5_0500000000_Range</vt:lpstr>
      <vt:lpstr>GMIC_22A_SCDPT5!SCDPT5_0509999999_10</vt:lpstr>
      <vt:lpstr>GMIC_22A_SCDPT5!SCDPT5_0509999999_11</vt:lpstr>
      <vt:lpstr>GMIC_22A_SCDPT5!SCDPT5_0509999999_12</vt:lpstr>
      <vt:lpstr>GMIC_22A_SCDPT5!SCDPT5_0509999999_13</vt:lpstr>
      <vt:lpstr>GMIC_22A_SCDPT5!SCDPT5_0509999999_14</vt:lpstr>
      <vt:lpstr>GMIC_22A_SCDPT5!SCDPT5_0509999999_15</vt:lpstr>
      <vt:lpstr>GMIC_22A_SCDPT5!SCDPT5_0509999999_16</vt:lpstr>
      <vt:lpstr>GMIC_22A_SCDPT5!SCDPT5_0509999999_17</vt:lpstr>
      <vt:lpstr>GMIC_22A_SCDPT5!SCDPT5_0509999999_18</vt:lpstr>
      <vt:lpstr>GMIC_22A_SCDPT5!SCDPT5_0509999999_19</vt:lpstr>
      <vt:lpstr>GMIC_22A_SCDPT5!SCDPT5_0509999999_20</vt:lpstr>
      <vt:lpstr>GMIC_22A_SCDPT5!SCDPT5_0509999999_21</vt:lpstr>
      <vt:lpstr>GMIC_22A_SCDPT5!SCDPT5_0509999999_8</vt:lpstr>
      <vt:lpstr>GMIC_22A_SCDPT5!SCDPT5_0509999999_9</vt:lpstr>
      <vt:lpstr>GMIC_22A_SCDPT5!SCDPT5_050BEGINNG_1</vt:lpstr>
      <vt:lpstr>GMIC_22A_SCDPT5!SCDPT5_050BEGINNG_10</vt:lpstr>
      <vt:lpstr>GMIC_22A_SCDPT5!SCDPT5_050BEGINNG_11</vt:lpstr>
      <vt:lpstr>GMIC_22A_SCDPT5!SCDPT5_050BEGINNG_12</vt:lpstr>
      <vt:lpstr>GMIC_22A_SCDPT5!SCDPT5_050BEGINNG_13</vt:lpstr>
      <vt:lpstr>GMIC_22A_SCDPT5!SCDPT5_050BEGINNG_14</vt:lpstr>
      <vt:lpstr>GMIC_22A_SCDPT5!SCDPT5_050BEGINNG_15</vt:lpstr>
      <vt:lpstr>GMIC_22A_SCDPT5!SCDPT5_050BEGINNG_16</vt:lpstr>
      <vt:lpstr>GMIC_22A_SCDPT5!SCDPT5_050BEGINNG_17</vt:lpstr>
      <vt:lpstr>GMIC_22A_SCDPT5!SCDPT5_050BEGINNG_18</vt:lpstr>
      <vt:lpstr>GMIC_22A_SCDPT5!SCDPT5_050BEGINNG_19</vt:lpstr>
      <vt:lpstr>GMIC_22A_SCDPT5!SCDPT5_050BEGINNG_2</vt:lpstr>
      <vt:lpstr>GMIC_22A_SCDPT5!SCDPT5_050BEGINNG_20</vt:lpstr>
      <vt:lpstr>GMIC_22A_SCDPT5!SCDPT5_050BEGINNG_21</vt:lpstr>
      <vt:lpstr>GMIC_22A_SCDPT5!SCDPT5_050BEGINNG_22</vt:lpstr>
      <vt:lpstr>GMIC_22A_SCDPT5!SCDPT5_050BEGINNG_23</vt:lpstr>
      <vt:lpstr>GMIC_22A_SCDPT5!SCDPT5_050BEGINNG_24</vt:lpstr>
      <vt:lpstr>GMIC_22A_SCDPT5!SCDPT5_050BEGINNG_25</vt:lpstr>
      <vt:lpstr>GMIC_22A_SCDPT5!SCDPT5_050BEGINNG_26</vt:lpstr>
      <vt:lpstr>GMIC_22A_SCDPT5!SCDPT5_050BEGINNG_27</vt:lpstr>
      <vt:lpstr>GMIC_22A_SCDPT5!SCDPT5_050BEGINNG_3</vt:lpstr>
      <vt:lpstr>GMIC_22A_SCDPT5!SCDPT5_050BEGINNG_4</vt:lpstr>
      <vt:lpstr>GMIC_22A_SCDPT5!SCDPT5_050BEGINNG_5</vt:lpstr>
      <vt:lpstr>GMIC_22A_SCDPT5!SCDPT5_050BEGINNG_6</vt:lpstr>
      <vt:lpstr>GMIC_22A_SCDPT5!SCDPT5_050BEGINNG_7</vt:lpstr>
      <vt:lpstr>GMIC_22A_SCDPT5!SCDPT5_050BEGINNG_8</vt:lpstr>
      <vt:lpstr>GMIC_22A_SCDPT5!SCDPT5_050BEGINNG_9</vt:lpstr>
      <vt:lpstr>GMIC_22A_SCDPT5!SCDPT5_050ENDINGG_10</vt:lpstr>
      <vt:lpstr>GMIC_22A_SCDPT5!SCDPT5_050ENDINGG_11</vt:lpstr>
      <vt:lpstr>GMIC_22A_SCDPT5!SCDPT5_050ENDINGG_12</vt:lpstr>
      <vt:lpstr>GMIC_22A_SCDPT5!SCDPT5_050ENDINGG_13</vt:lpstr>
      <vt:lpstr>GMIC_22A_SCDPT5!SCDPT5_050ENDINGG_14</vt:lpstr>
      <vt:lpstr>GMIC_22A_SCDPT5!SCDPT5_050ENDINGG_15</vt:lpstr>
      <vt:lpstr>GMIC_22A_SCDPT5!SCDPT5_050ENDINGG_16</vt:lpstr>
      <vt:lpstr>GMIC_22A_SCDPT5!SCDPT5_050ENDINGG_17</vt:lpstr>
      <vt:lpstr>GMIC_22A_SCDPT5!SCDPT5_050ENDINGG_18</vt:lpstr>
      <vt:lpstr>GMIC_22A_SCDPT5!SCDPT5_050ENDINGG_19</vt:lpstr>
      <vt:lpstr>GMIC_22A_SCDPT5!SCDPT5_050ENDINGG_2</vt:lpstr>
      <vt:lpstr>GMIC_22A_SCDPT5!SCDPT5_050ENDINGG_20</vt:lpstr>
      <vt:lpstr>GMIC_22A_SCDPT5!SCDPT5_050ENDINGG_21</vt:lpstr>
      <vt:lpstr>GMIC_22A_SCDPT5!SCDPT5_050ENDINGG_22</vt:lpstr>
      <vt:lpstr>GMIC_22A_SCDPT5!SCDPT5_050ENDINGG_23</vt:lpstr>
      <vt:lpstr>GMIC_22A_SCDPT5!SCDPT5_050ENDINGG_24</vt:lpstr>
      <vt:lpstr>GMIC_22A_SCDPT5!SCDPT5_050ENDINGG_25</vt:lpstr>
      <vt:lpstr>GMIC_22A_SCDPT5!SCDPT5_050ENDINGG_26</vt:lpstr>
      <vt:lpstr>GMIC_22A_SCDPT5!SCDPT5_050ENDINGG_27</vt:lpstr>
      <vt:lpstr>GMIC_22A_SCDPT5!SCDPT5_050ENDINGG_3</vt:lpstr>
      <vt:lpstr>GMIC_22A_SCDPT5!SCDPT5_050ENDINGG_4</vt:lpstr>
      <vt:lpstr>GMIC_22A_SCDPT5!SCDPT5_050ENDINGG_5</vt:lpstr>
      <vt:lpstr>GMIC_22A_SCDPT5!SCDPT5_050ENDINGG_6</vt:lpstr>
      <vt:lpstr>GMIC_22A_SCDPT5!SCDPT5_050ENDINGG_7</vt:lpstr>
      <vt:lpstr>GMIC_22A_SCDPT5!SCDPT5_050ENDINGG_8</vt:lpstr>
      <vt:lpstr>GMIC_22A_SCDPT5!SCDPT5_050ENDINGG_9</vt:lpstr>
      <vt:lpstr>GMIC_22A_SCDPT5!SCDPT5_0700000000_Range</vt:lpstr>
      <vt:lpstr>GMIC_22A_SCDPT5!SCDPT5_0709999999_10</vt:lpstr>
      <vt:lpstr>GMIC_22A_SCDPT5!SCDPT5_0709999999_11</vt:lpstr>
      <vt:lpstr>GMIC_22A_SCDPT5!SCDPT5_0709999999_12</vt:lpstr>
      <vt:lpstr>GMIC_22A_SCDPT5!SCDPT5_0709999999_13</vt:lpstr>
      <vt:lpstr>GMIC_22A_SCDPT5!SCDPT5_0709999999_14</vt:lpstr>
      <vt:lpstr>GMIC_22A_SCDPT5!SCDPT5_0709999999_15</vt:lpstr>
      <vt:lpstr>GMIC_22A_SCDPT5!SCDPT5_0709999999_16</vt:lpstr>
      <vt:lpstr>GMIC_22A_SCDPT5!SCDPT5_0709999999_17</vt:lpstr>
      <vt:lpstr>GMIC_22A_SCDPT5!SCDPT5_0709999999_18</vt:lpstr>
      <vt:lpstr>GMIC_22A_SCDPT5!SCDPT5_0709999999_19</vt:lpstr>
      <vt:lpstr>GMIC_22A_SCDPT5!SCDPT5_0709999999_20</vt:lpstr>
      <vt:lpstr>GMIC_22A_SCDPT5!SCDPT5_0709999999_21</vt:lpstr>
      <vt:lpstr>GMIC_22A_SCDPT5!SCDPT5_0709999999_8</vt:lpstr>
      <vt:lpstr>GMIC_22A_SCDPT5!SCDPT5_0709999999_9</vt:lpstr>
      <vt:lpstr>GMIC_22A_SCDPT5!SCDPT5_070BEGINNG_1</vt:lpstr>
      <vt:lpstr>GMIC_22A_SCDPT5!SCDPT5_070BEGINNG_10</vt:lpstr>
      <vt:lpstr>GMIC_22A_SCDPT5!SCDPT5_070BEGINNG_11</vt:lpstr>
      <vt:lpstr>GMIC_22A_SCDPT5!SCDPT5_070BEGINNG_12</vt:lpstr>
      <vt:lpstr>GMIC_22A_SCDPT5!SCDPT5_070BEGINNG_13</vt:lpstr>
      <vt:lpstr>GMIC_22A_SCDPT5!SCDPT5_070BEGINNG_14</vt:lpstr>
      <vt:lpstr>GMIC_22A_SCDPT5!SCDPT5_070BEGINNG_15</vt:lpstr>
      <vt:lpstr>GMIC_22A_SCDPT5!SCDPT5_070BEGINNG_16</vt:lpstr>
      <vt:lpstr>GMIC_22A_SCDPT5!SCDPT5_070BEGINNG_17</vt:lpstr>
      <vt:lpstr>GMIC_22A_SCDPT5!SCDPT5_070BEGINNG_18</vt:lpstr>
      <vt:lpstr>GMIC_22A_SCDPT5!SCDPT5_070BEGINNG_19</vt:lpstr>
      <vt:lpstr>GMIC_22A_SCDPT5!SCDPT5_070BEGINNG_2</vt:lpstr>
      <vt:lpstr>GMIC_22A_SCDPT5!SCDPT5_070BEGINNG_20</vt:lpstr>
      <vt:lpstr>GMIC_22A_SCDPT5!SCDPT5_070BEGINNG_21</vt:lpstr>
      <vt:lpstr>GMIC_22A_SCDPT5!SCDPT5_070BEGINNG_22</vt:lpstr>
      <vt:lpstr>GMIC_22A_SCDPT5!SCDPT5_070BEGINNG_23</vt:lpstr>
      <vt:lpstr>GMIC_22A_SCDPT5!SCDPT5_070BEGINNG_24</vt:lpstr>
      <vt:lpstr>GMIC_22A_SCDPT5!SCDPT5_070BEGINNG_25</vt:lpstr>
      <vt:lpstr>GMIC_22A_SCDPT5!SCDPT5_070BEGINNG_26</vt:lpstr>
      <vt:lpstr>GMIC_22A_SCDPT5!SCDPT5_070BEGINNG_27</vt:lpstr>
      <vt:lpstr>GMIC_22A_SCDPT5!SCDPT5_070BEGINNG_3</vt:lpstr>
      <vt:lpstr>GMIC_22A_SCDPT5!SCDPT5_070BEGINNG_4</vt:lpstr>
      <vt:lpstr>GMIC_22A_SCDPT5!SCDPT5_070BEGINNG_5</vt:lpstr>
      <vt:lpstr>GMIC_22A_SCDPT5!SCDPT5_070BEGINNG_6</vt:lpstr>
      <vt:lpstr>GMIC_22A_SCDPT5!SCDPT5_070BEGINNG_7</vt:lpstr>
      <vt:lpstr>GMIC_22A_SCDPT5!SCDPT5_070BEGINNG_8</vt:lpstr>
      <vt:lpstr>GMIC_22A_SCDPT5!SCDPT5_070BEGINNG_9</vt:lpstr>
      <vt:lpstr>GMIC_22A_SCDPT5!SCDPT5_070ENDINGG_10</vt:lpstr>
      <vt:lpstr>GMIC_22A_SCDPT5!SCDPT5_070ENDINGG_11</vt:lpstr>
      <vt:lpstr>GMIC_22A_SCDPT5!SCDPT5_070ENDINGG_12</vt:lpstr>
      <vt:lpstr>GMIC_22A_SCDPT5!SCDPT5_070ENDINGG_13</vt:lpstr>
      <vt:lpstr>GMIC_22A_SCDPT5!SCDPT5_070ENDINGG_14</vt:lpstr>
      <vt:lpstr>GMIC_22A_SCDPT5!SCDPT5_070ENDINGG_15</vt:lpstr>
      <vt:lpstr>GMIC_22A_SCDPT5!SCDPT5_070ENDINGG_16</vt:lpstr>
      <vt:lpstr>GMIC_22A_SCDPT5!SCDPT5_070ENDINGG_17</vt:lpstr>
      <vt:lpstr>GMIC_22A_SCDPT5!SCDPT5_070ENDINGG_18</vt:lpstr>
      <vt:lpstr>GMIC_22A_SCDPT5!SCDPT5_070ENDINGG_19</vt:lpstr>
      <vt:lpstr>GMIC_22A_SCDPT5!SCDPT5_070ENDINGG_2</vt:lpstr>
      <vt:lpstr>GMIC_22A_SCDPT5!SCDPT5_070ENDINGG_20</vt:lpstr>
      <vt:lpstr>GMIC_22A_SCDPT5!SCDPT5_070ENDINGG_21</vt:lpstr>
      <vt:lpstr>GMIC_22A_SCDPT5!SCDPT5_070ENDINGG_22</vt:lpstr>
      <vt:lpstr>GMIC_22A_SCDPT5!SCDPT5_070ENDINGG_23</vt:lpstr>
      <vt:lpstr>GMIC_22A_SCDPT5!SCDPT5_070ENDINGG_24</vt:lpstr>
      <vt:lpstr>GMIC_22A_SCDPT5!SCDPT5_070ENDINGG_25</vt:lpstr>
      <vt:lpstr>GMIC_22A_SCDPT5!SCDPT5_070ENDINGG_26</vt:lpstr>
      <vt:lpstr>GMIC_22A_SCDPT5!SCDPT5_070ENDINGG_27</vt:lpstr>
      <vt:lpstr>GMIC_22A_SCDPT5!SCDPT5_070ENDINGG_3</vt:lpstr>
      <vt:lpstr>GMIC_22A_SCDPT5!SCDPT5_070ENDINGG_4</vt:lpstr>
      <vt:lpstr>GMIC_22A_SCDPT5!SCDPT5_070ENDINGG_5</vt:lpstr>
      <vt:lpstr>GMIC_22A_SCDPT5!SCDPT5_070ENDINGG_6</vt:lpstr>
      <vt:lpstr>GMIC_22A_SCDPT5!SCDPT5_070ENDINGG_7</vt:lpstr>
      <vt:lpstr>GMIC_22A_SCDPT5!SCDPT5_070ENDINGG_8</vt:lpstr>
      <vt:lpstr>GMIC_22A_SCDPT5!SCDPT5_070ENDINGG_9</vt:lpstr>
      <vt:lpstr>GMIC_22A_SCDPT5!SCDPT5_0900000000_Range</vt:lpstr>
      <vt:lpstr>GMIC_22A_SCDPT5!SCDPT5_0900000001_1</vt:lpstr>
      <vt:lpstr>GMIC_22A_SCDPT5!SCDPT5_0900000001_10</vt:lpstr>
      <vt:lpstr>GMIC_22A_SCDPT5!SCDPT5_0900000001_11</vt:lpstr>
      <vt:lpstr>GMIC_22A_SCDPT5!SCDPT5_0900000001_12</vt:lpstr>
      <vt:lpstr>GMIC_22A_SCDPT5!SCDPT5_0900000001_13</vt:lpstr>
      <vt:lpstr>GMIC_22A_SCDPT5!SCDPT5_0900000001_14</vt:lpstr>
      <vt:lpstr>GMIC_22A_SCDPT5!SCDPT5_0900000001_15</vt:lpstr>
      <vt:lpstr>GMIC_22A_SCDPT5!SCDPT5_0900000001_16</vt:lpstr>
      <vt:lpstr>GMIC_22A_SCDPT5!SCDPT5_0900000001_17</vt:lpstr>
      <vt:lpstr>GMIC_22A_SCDPT5!SCDPT5_0900000001_18</vt:lpstr>
      <vt:lpstr>GMIC_22A_SCDPT5!SCDPT5_0900000001_19</vt:lpstr>
      <vt:lpstr>GMIC_22A_SCDPT5!SCDPT5_0900000001_2</vt:lpstr>
      <vt:lpstr>GMIC_22A_SCDPT5!SCDPT5_0900000001_20</vt:lpstr>
      <vt:lpstr>GMIC_22A_SCDPT5!SCDPT5_0900000001_21</vt:lpstr>
      <vt:lpstr>GMIC_22A_SCDPT5!SCDPT5_0900000001_22</vt:lpstr>
      <vt:lpstr>GMIC_22A_SCDPT5!SCDPT5_0900000001_23</vt:lpstr>
      <vt:lpstr>GMIC_22A_SCDPT5!SCDPT5_0900000001_24</vt:lpstr>
      <vt:lpstr>GMIC_22A_SCDPT5!SCDPT5_0900000001_25</vt:lpstr>
      <vt:lpstr>GMIC_22A_SCDPT5!SCDPT5_0900000001_26</vt:lpstr>
      <vt:lpstr>GMIC_22A_SCDPT5!SCDPT5_0900000001_27</vt:lpstr>
      <vt:lpstr>GMIC_22A_SCDPT5!SCDPT5_0900000001_3</vt:lpstr>
      <vt:lpstr>GMIC_22A_SCDPT5!SCDPT5_0900000001_4</vt:lpstr>
      <vt:lpstr>GMIC_22A_SCDPT5!SCDPT5_0900000001_5</vt:lpstr>
      <vt:lpstr>GMIC_22A_SCDPT5!SCDPT5_0900000001_6</vt:lpstr>
      <vt:lpstr>GMIC_22A_SCDPT5!SCDPT5_0900000001_7</vt:lpstr>
      <vt:lpstr>GMIC_22A_SCDPT5!SCDPT5_0900000001_8</vt:lpstr>
      <vt:lpstr>GMIC_22A_SCDPT5!SCDPT5_0900000001_9</vt:lpstr>
      <vt:lpstr>GMIC_22A_SCDPT5!SCDPT5_0909999999_10</vt:lpstr>
      <vt:lpstr>GMIC_22A_SCDPT5!SCDPT5_0909999999_11</vt:lpstr>
      <vt:lpstr>GMIC_22A_SCDPT5!SCDPT5_0909999999_12</vt:lpstr>
      <vt:lpstr>GMIC_22A_SCDPT5!SCDPT5_0909999999_13</vt:lpstr>
      <vt:lpstr>GMIC_22A_SCDPT5!SCDPT5_0909999999_14</vt:lpstr>
      <vt:lpstr>GMIC_22A_SCDPT5!SCDPT5_0909999999_15</vt:lpstr>
      <vt:lpstr>GMIC_22A_SCDPT5!SCDPT5_0909999999_16</vt:lpstr>
      <vt:lpstr>GMIC_22A_SCDPT5!SCDPT5_0909999999_17</vt:lpstr>
      <vt:lpstr>GMIC_22A_SCDPT5!SCDPT5_0909999999_18</vt:lpstr>
      <vt:lpstr>GMIC_22A_SCDPT5!SCDPT5_0909999999_19</vt:lpstr>
      <vt:lpstr>GMIC_22A_SCDPT5!SCDPT5_0909999999_20</vt:lpstr>
      <vt:lpstr>GMIC_22A_SCDPT5!SCDPT5_0909999999_21</vt:lpstr>
      <vt:lpstr>GMIC_22A_SCDPT5!SCDPT5_0909999999_8</vt:lpstr>
      <vt:lpstr>GMIC_22A_SCDPT5!SCDPT5_0909999999_9</vt:lpstr>
      <vt:lpstr>GMIC_22A_SCDPT5!SCDPT5_090BEGINNG_1</vt:lpstr>
      <vt:lpstr>GMIC_22A_SCDPT5!SCDPT5_090BEGINNG_10</vt:lpstr>
      <vt:lpstr>GMIC_22A_SCDPT5!SCDPT5_090BEGINNG_11</vt:lpstr>
      <vt:lpstr>GMIC_22A_SCDPT5!SCDPT5_090BEGINNG_12</vt:lpstr>
      <vt:lpstr>GMIC_22A_SCDPT5!SCDPT5_090BEGINNG_13</vt:lpstr>
      <vt:lpstr>GMIC_22A_SCDPT5!SCDPT5_090BEGINNG_14</vt:lpstr>
      <vt:lpstr>GMIC_22A_SCDPT5!SCDPT5_090BEGINNG_15</vt:lpstr>
      <vt:lpstr>GMIC_22A_SCDPT5!SCDPT5_090BEGINNG_16</vt:lpstr>
      <vt:lpstr>GMIC_22A_SCDPT5!SCDPT5_090BEGINNG_17</vt:lpstr>
      <vt:lpstr>GMIC_22A_SCDPT5!SCDPT5_090BEGINNG_18</vt:lpstr>
      <vt:lpstr>GMIC_22A_SCDPT5!SCDPT5_090BEGINNG_19</vt:lpstr>
      <vt:lpstr>GMIC_22A_SCDPT5!SCDPT5_090BEGINNG_2</vt:lpstr>
      <vt:lpstr>GMIC_22A_SCDPT5!SCDPT5_090BEGINNG_20</vt:lpstr>
      <vt:lpstr>GMIC_22A_SCDPT5!SCDPT5_090BEGINNG_21</vt:lpstr>
      <vt:lpstr>GMIC_22A_SCDPT5!SCDPT5_090BEGINNG_22</vt:lpstr>
      <vt:lpstr>GMIC_22A_SCDPT5!SCDPT5_090BEGINNG_23</vt:lpstr>
      <vt:lpstr>GMIC_22A_SCDPT5!SCDPT5_090BEGINNG_24</vt:lpstr>
      <vt:lpstr>GMIC_22A_SCDPT5!SCDPT5_090BEGINNG_25</vt:lpstr>
      <vt:lpstr>GMIC_22A_SCDPT5!SCDPT5_090BEGINNG_26</vt:lpstr>
      <vt:lpstr>GMIC_22A_SCDPT5!SCDPT5_090BEGINNG_27</vt:lpstr>
      <vt:lpstr>GMIC_22A_SCDPT5!SCDPT5_090BEGINNG_3</vt:lpstr>
      <vt:lpstr>GMIC_22A_SCDPT5!SCDPT5_090BEGINNG_4</vt:lpstr>
      <vt:lpstr>GMIC_22A_SCDPT5!SCDPT5_090BEGINNG_5</vt:lpstr>
      <vt:lpstr>GMIC_22A_SCDPT5!SCDPT5_090BEGINNG_6</vt:lpstr>
      <vt:lpstr>GMIC_22A_SCDPT5!SCDPT5_090BEGINNG_7</vt:lpstr>
      <vt:lpstr>GMIC_22A_SCDPT5!SCDPT5_090BEGINNG_8</vt:lpstr>
      <vt:lpstr>GMIC_22A_SCDPT5!SCDPT5_090BEGINNG_9</vt:lpstr>
      <vt:lpstr>GMIC_22A_SCDPT5!SCDPT5_090ENDINGG_10</vt:lpstr>
      <vt:lpstr>GMIC_22A_SCDPT5!SCDPT5_090ENDINGG_11</vt:lpstr>
      <vt:lpstr>GMIC_22A_SCDPT5!SCDPT5_090ENDINGG_12</vt:lpstr>
      <vt:lpstr>GMIC_22A_SCDPT5!SCDPT5_090ENDINGG_13</vt:lpstr>
      <vt:lpstr>GMIC_22A_SCDPT5!SCDPT5_090ENDINGG_14</vt:lpstr>
      <vt:lpstr>GMIC_22A_SCDPT5!SCDPT5_090ENDINGG_15</vt:lpstr>
      <vt:lpstr>GMIC_22A_SCDPT5!SCDPT5_090ENDINGG_16</vt:lpstr>
      <vt:lpstr>GMIC_22A_SCDPT5!SCDPT5_090ENDINGG_17</vt:lpstr>
      <vt:lpstr>GMIC_22A_SCDPT5!SCDPT5_090ENDINGG_18</vt:lpstr>
      <vt:lpstr>GMIC_22A_SCDPT5!SCDPT5_090ENDINGG_19</vt:lpstr>
      <vt:lpstr>GMIC_22A_SCDPT5!SCDPT5_090ENDINGG_2</vt:lpstr>
      <vt:lpstr>GMIC_22A_SCDPT5!SCDPT5_090ENDINGG_20</vt:lpstr>
      <vt:lpstr>GMIC_22A_SCDPT5!SCDPT5_090ENDINGG_21</vt:lpstr>
      <vt:lpstr>GMIC_22A_SCDPT5!SCDPT5_090ENDINGG_22</vt:lpstr>
      <vt:lpstr>GMIC_22A_SCDPT5!SCDPT5_090ENDINGG_23</vt:lpstr>
      <vt:lpstr>GMIC_22A_SCDPT5!SCDPT5_090ENDINGG_24</vt:lpstr>
      <vt:lpstr>GMIC_22A_SCDPT5!SCDPT5_090ENDINGG_25</vt:lpstr>
      <vt:lpstr>GMIC_22A_SCDPT5!SCDPT5_090ENDINGG_26</vt:lpstr>
      <vt:lpstr>GMIC_22A_SCDPT5!SCDPT5_090ENDINGG_27</vt:lpstr>
      <vt:lpstr>GMIC_22A_SCDPT5!SCDPT5_090ENDINGG_3</vt:lpstr>
      <vt:lpstr>GMIC_22A_SCDPT5!SCDPT5_090ENDINGG_4</vt:lpstr>
      <vt:lpstr>GMIC_22A_SCDPT5!SCDPT5_090ENDINGG_5</vt:lpstr>
      <vt:lpstr>GMIC_22A_SCDPT5!SCDPT5_090ENDINGG_6</vt:lpstr>
      <vt:lpstr>GMIC_22A_SCDPT5!SCDPT5_090ENDINGG_7</vt:lpstr>
      <vt:lpstr>GMIC_22A_SCDPT5!SCDPT5_090ENDINGG_8</vt:lpstr>
      <vt:lpstr>GMIC_22A_SCDPT5!SCDPT5_090ENDINGG_9</vt:lpstr>
      <vt:lpstr>GMIC_22A_SCDPT5!SCDPT5_1100000000_Range</vt:lpstr>
      <vt:lpstr>GMIC_22A_SCDPT5!SCDPT5_1100000001_1</vt:lpstr>
      <vt:lpstr>GMIC_22A_SCDPT5!SCDPT5_1100000001_10</vt:lpstr>
      <vt:lpstr>GMIC_22A_SCDPT5!SCDPT5_1100000001_11</vt:lpstr>
      <vt:lpstr>GMIC_22A_SCDPT5!SCDPT5_1100000001_12</vt:lpstr>
      <vt:lpstr>GMIC_22A_SCDPT5!SCDPT5_1100000001_13</vt:lpstr>
      <vt:lpstr>GMIC_22A_SCDPT5!SCDPT5_1100000001_14</vt:lpstr>
      <vt:lpstr>GMIC_22A_SCDPT5!SCDPT5_1100000001_15</vt:lpstr>
      <vt:lpstr>GMIC_22A_SCDPT5!SCDPT5_1100000001_16</vt:lpstr>
      <vt:lpstr>GMIC_22A_SCDPT5!SCDPT5_1100000001_17</vt:lpstr>
      <vt:lpstr>GMIC_22A_SCDPT5!SCDPT5_1100000001_18</vt:lpstr>
      <vt:lpstr>GMIC_22A_SCDPT5!SCDPT5_1100000001_19</vt:lpstr>
      <vt:lpstr>GMIC_22A_SCDPT5!SCDPT5_1100000001_2</vt:lpstr>
      <vt:lpstr>GMIC_22A_SCDPT5!SCDPT5_1100000001_20</vt:lpstr>
      <vt:lpstr>GMIC_22A_SCDPT5!SCDPT5_1100000001_21</vt:lpstr>
      <vt:lpstr>GMIC_22A_SCDPT5!SCDPT5_1100000001_23</vt:lpstr>
      <vt:lpstr>GMIC_22A_SCDPT5!SCDPT5_1100000001_24</vt:lpstr>
      <vt:lpstr>GMIC_22A_SCDPT5!SCDPT5_1100000001_25</vt:lpstr>
      <vt:lpstr>GMIC_22A_SCDPT5!SCDPT5_1100000001_26</vt:lpstr>
      <vt:lpstr>GMIC_22A_SCDPT5!SCDPT5_1100000001_27</vt:lpstr>
      <vt:lpstr>GMIC_22A_SCDPT5!SCDPT5_1100000001_3</vt:lpstr>
      <vt:lpstr>GMIC_22A_SCDPT5!SCDPT5_1100000001_4</vt:lpstr>
      <vt:lpstr>GMIC_22A_SCDPT5!SCDPT5_1100000001_5</vt:lpstr>
      <vt:lpstr>GMIC_22A_SCDPT5!SCDPT5_1100000001_6</vt:lpstr>
      <vt:lpstr>GMIC_22A_SCDPT5!SCDPT5_1100000001_7</vt:lpstr>
      <vt:lpstr>GMIC_22A_SCDPT5!SCDPT5_1100000001_8</vt:lpstr>
      <vt:lpstr>GMIC_22A_SCDPT5!SCDPT5_1100000001_9</vt:lpstr>
      <vt:lpstr>GMIC_22A_SCDPT5!SCDPT5_1109999999_10</vt:lpstr>
      <vt:lpstr>GMIC_22A_SCDPT5!SCDPT5_1109999999_11</vt:lpstr>
      <vt:lpstr>GMIC_22A_SCDPT5!SCDPT5_1109999999_12</vt:lpstr>
      <vt:lpstr>GMIC_22A_SCDPT5!SCDPT5_1109999999_13</vt:lpstr>
      <vt:lpstr>GMIC_22A_SCDPT5!SCDPT5_1109999999_14</vt:lpstr>
      <vt:lpstr>GMIC_22A_SCDPT5!SCDPT5_1109999999_15</vt:lpstr>
      <vt:lpstr>GMIC_22A_SCDPT5!SCDPT5_1109999999_16</vt:lpstr>
      <vt:lpstr>GMIC_22A_SCDPT5!SCDPT5_1109999999_17</vt:lpstr>
      <vt:lpstr>GMIC_22A_SCDPT5!SCDPT5_1109999999_18</vt:lpstr>
      <vt:lpstr>GMIC_22A_SCDPT5!SCDPT5_1109999999_19</vt:lpstr>
      <vt:lpstr>GMIC_22A_SCDPT5!SCDPT5_1109999999_20</vt:lpstr>
      <vt:lpstr>GMIC_22A_SCDPT5!SCDPT5_1109999999_21</vt:lpstr>
      <vt:lpstr>GMIC_22A_SCDPT5!SCDPT5_1109999999_8</vt:lpstr>
      <vt:lpstr>GMIC_22A_SCDPT5!SCDPT5_1109999999_9</vt:lpstr>
      <vt:lpstr>GMIC_22A_SCDPT5!SCDPT5_110BEGINNG_1</vt:lpstr>
      <vt:lpstr>GMIC_22A_SCDPT5!SCDPT5_110BEGINNG_10</vt:lpstr>
      <vt:lpstr>GMIC_22A_SCDPT5!SCDPT5_110BEGINNG_11</vt:lpstr>
      <vt:lpstr>GMIC_22A_SCDPT5!SCDPT5_110BEGINNG_12</vt:lpstr>
      <vt:lpstr>GMIC_22A_SCDPT5!SCDPT5_110BEGINNG_13</vt:lpstr>
      <vt:lpstr>GMIC_22A_SCDPT5!SCDPT5_110BEGINNG_14</vt:lpstr>
      <vt:lpstr>GMIC_22A_SCDPT5!SCDPT5_110BEGINNG_15</vt:lpstr>
      <vt:lpstr>GMIC_22A_SCDPT5!SCDPT5_110BEGINNG_16</vt:lpstr>
      <vt:lpstr>GMIC_22A_SCDPT5!SCDPT5_110BEGINNG_17</vt:lpstr>
      <vt:lpstr>GMIC_22A_SCDPT5!SCDPT5_110BEGINNG_18</vt:lpstr>
      <vt:lpstr>GMIC_22A_SCDPT5!SCDPT5_110BEGINNG_19</vt:lpstr>
      <vt:lpstr>GMIC_22A_SCDPT5!SCDPT5_110BEGINNG_2</vt:lpstr>
      <vt:lpstr>GMIC_22A_SCDPT5!SCDPT5_110BEGINNG_20</vt:lpstr>
      <vt:lpstr>GMIC_22A_SCDPT5!SCDPT5_110BEGINNG_21</vt:lpstr>
      <vt:lpstr>GMIC_22A_SCDPT5!SCDPT5_110BEGINNG_22</vt:lpstr>
      <vt:lpstr>GMIC_22A_SCDPT5!SCDPT5_110BEGINNG_23</vt:lpstr>
      <vt:lpstr>GMIC_22A_SCDPT5!SCDPT5_110BEGINNG_24</vt:lpstr>
      <vt:lpstr>GMIC_22A_SCDPT5!SCDPT5_110BEGINNG_25</vt:lpstr>
      <vt:lpstr>GMIC_22A_SCDPT5!SCDPT5_110BEGINNG_26</vt:lpstr>
      <vt:lpstr>GMIC_22A_SCDPT5!SCDPT5_110BEGINNG_27</vt:lpstr>
      <vt:lpstr>GMIC_22A_SCDPT5!SCDPT5_110BEGINNG_3</vt:lpstr>
      <vt:lpstr>GMIC_22A_SCDPT5!SCDPT5_110BEGINNG_4</vt:lpstr>
      <vt:lpstr>GMIC_22A_SCDPT5!SCDPT5_110BEGINNG_5</vt:lpstr>
      <vt:lpstr>GMIC_22A_SCDPT5!SCDPT5_110BEGINNG_6</vt:lpstr>
      <vt:lpstr>GMIC_22A_SCDPT5!SCDPT5_110BEGINNG_7</vt:lpstr>
      <vt:lpstr>GMIC_22A_SCDPT5!SCDPT5_110BEGINNG_8</vt:lpstr>
      <vt:lpstr>GMIC_22A_SCDPT5!SCDPT5_110BEGINNG_9</vt:lpstr>
      <vt:lpstr>GMIC_22A_SCDPT5!SCDPT5_110ENDINGG_10</vt:lpstr>
      <vt:lpstr>GMIC_22A_SCDPT5!SCDPT5_110ENDINGG_11</vt:lpstr>
      <vt:lpstr>GMIC_22A_SCDPT5!SCDPT5_110ENDINGG_12</vt:lpstr>
      <vt:lpstr>GMIC_22A_SCDPT5!SCDPT5_110ENDINGG_13</vt:lpstr>
      <vt:lpstr>GMIC_22A_SCDPT5!SCDPT5_110ENDINGG_14</vt:lpstr>
      <vt:lpstr>GMIC_22A_SCDPT5!SCDPT5_110ENDINGG_15</vt:lpstr>
      <vt:lpstr>GMIC_22A_SCDPT5!SCDPT5_110ENDINGG_16</vt:lpstr>
      <vt:lpstr>GMIC_22A_SCDPT5!SCDPT5_110ENDINGG_17</vt:lpstr>
      <vt:lpstr>GMIC_22A_SCDPT5!SCDPT5_110ENDINGG_18</vt:lpstr>
      <vt:lpstr>GMIC_22A_SCDPT5!SCDPT5_110ENDINGG_19</vt:lpstr>
      <vt:lpstr>GMIC_22A_SCDPT5!SCDPT5_110ENDINGG_2</vt:lpstr>
      <vt:lpstr>GMIC_22A_SCDPT5!SCDPT5_110ENDINGG_20</vt:lpstr>
      <vt:lpstr>GMIC_22A_SCDPT5!SCDPT5_110ENDINGG_21</vt:lpstr>
      <vt:lpstr>GMIC_22A_SCDPT5!SCDPT5_110ENDINGG_22</vt:lpstr>
      <vt:lpstr>GMIC_22A_SCDPT5!SCDPT5_110ENDINGG_23</vt:lpstr>
      <vt:lpstr>GMIC_22A_SCDPT5!SCDPT5_110ENDINGG_24</vt:lpstr>
      <vt:lpstr>GMIC_22A_SCDPT5!SCDPT5_110ENDINGG_25</vt:lpstr>
      <vt:lpstr>GMIC_22A_SCDPT5!SCDPT5_110ENDINGG_26</vt:lpstr>
      <vt:lpstr>GMIC_22A_SCDPT5!SCDPT5_110ENDINGG_27</vt:lpstr>
      <vt:lpstr>GMIC_22A_SCDPT5!SCDPT5_110ENDINGG_3</vt:lpstr>
      <vt:lpstr>GMIC_22A_SCDPT5!SCDPT5_110ENDINGG_4</vt:lpstr>
      <vt:lpstr>GMIC_22A_SCDPT5!SCDPT5_110ENDINGG_5</vt:lpstr>
      <vt:lpstr>GMIC_22A_SCDPT5!SCDPT5_110ENDINGG_6</vt:lpstr>
      <vt:lpstr>GMIC_22A_SCDPT5!SCDPT5_110ENDINGG_7</vt:lpstr>
      <vt:lpstr>GMIC_22A_SCDPT5!SCDPT5_110ENDINGG_8</vt:lpstr>
      <vt:lpstr>GMIC_22A_SCDPT5!SCDPT5_110ENDINGG_9</vt:lpstr>
      <vt:lpstr>GMIC_22A_SCDPT5!SCDPT5_1300000000_Range</vt:lpstr>
      <vt:lpstr>GMIC_22A_SCDPT5!SCDPT5_1309999999_10</vt:lpstr>
      <vt:lpstr>GMIC_22A_SCDPT5!SCDPT5_1309999999_11</vt:lpstr>
      <vt:lpstr>GMIC_22A_SCDPT5!SCDPT5_1309999999_12</vt:lpstr>
      <vt:lpstr>GMIC_22A_SCDPT5!SCDPT5_1309999999_13</vt:lpstr>
      <vt:lpstr>GMIC_22A_SCDPT5!SCDPT5_1309999999_14</vt:lpstr>
      <vt:lpstr>GMIC_22A_SCDPT5!SCDPT5_1309999999_15</vt:lpstr>
      <vt:lpstr>GMIC_22A_SCDPT5!SCDPT5_1309999999_16</vt:lpstr>
      <vt:lpstr>GMIC_22A_SCDPT5!SCDPT5_1309999999_17</vt:lpstr>
      <vt:lpstr>GMIC_22A_SCDPT5!SCDPT5_1309999999_18</vt:lpstr>
      <vt:lpstr>GMIC_22A_SCDPT5!SCDPT5_1309999999_19</vt:lpstr>
      <vt:lpstr>GMIC_22A_SCDPT5!SCDPT5_1309999999_20</vt:lpstr>
      <vt:lpstr>GMIC_22A_SCDPT5!SCDPT5_1309999999_21</vt:lpstr>
      <vt:lpstr>GMIC_22A_SCDPT5!SCDPT5_1309999999_8</vt:lpstr>
      <vt:lpstr>GMIC_22A_SCDPT5!SCDPT5_1309999999_9</vt:lpstr>
      <vt:lpstr>GMIC_22A_SCDPT5!SCDPT5_130BEGINNG_1</vt:lpstr>
      <vt:lpstr>GMIC_22A_SCDPT5!SCDPT5_130BEGINNG_10</vt:lpstr>
      <vt:lpstr>GMIC_22A_SCDPT5!SCDPT5_130BEGINNG_11</vt:lpstr>
      <vt:lpstr>GMIC_22A_SCDPT5!SCDPT5_130BEGINNG_12</vt:lpstr>
      <vt:lpstr>GMIC_22A_SCDPT5!SCDPT5_130BEGINNG_13</vt:lpstr>
      <vt:lpstr>GMIC_22A_SCDPT5!SCDPT5_130BEGINNG_14</vt:lpstr>
      <vt:lpstr>GMIC_22A_SCDPT5!SCDPT5_130BEGINNG_15</vt:lpstr>
      <vt:lpstr>GMIC_22A_SCDPT5!SCDPT5_130BEGINNG_16</vt:lpstr>
      <vt:lpstr>GMIC_22A_SCDPT5!SCDPT5_130BEGINNG_17</vt:lpstr>
      <vt:lpstr>GMIC_22A_SCDPT5!SCDPT5_130BEGINNG_18</vt:lpstr>
      <vt:lpstr>GMIC_22A_SCDPT5!SCDPT5_130BEGINNG_19</vt:lpstr>
      <vt:lpstr>GMIC_22A_SCDPT5!SCDPT5_130BEGINNG_2</vt:lpstr>
      <vt:lpstr>GMIC_22A_SCDPT5!SCDPT5_130BEGINNG_20</vt:lpstr>
      <vt:lpstr>GMIC_22A_SCDPT5!SCDPT5_130BEGINNG_21</vt:lpstr>
      <vt:lpstr>GMIC_22A_SCDPT5!SCDPT5_130BEGINNG_22</vt:lpstr>
      <vt:lpstr>GMIC_22A_SCDPT5!SCDPT5_130BEGINNG_23</vt:lpstr>
      <vt:lpstr>GMIC_22A_SCDPT5!SCDPT5_130BEGINNG_24</vt:lpstr>
      <vt:lpstr>GMIC_22A_SCDPT5!SCDPT5_130BEGINNG_25</vt:lpstr>
      <vt:lpstr>GMIC_22A_SCDPT5!SCDPT5_130BEGINNG_26</vt:lpstr>
      <vt:lpstr>GMIC_22A_SCDPT5!SCDPT5_130BEGINNG_27</vt:lpstr>
      <vt:lpstr>GMIC_22A_SCDPT5!SCDPT5_130BEGINNG_3</vt:lpstr>
      <vt:lpstr>GMIC_22A_SCDPT5!SCDPT5_130BEGINNG_4</vt:lpstr>
      <vt:lpstr>GMIC_22A_SCDPT5!SCDPT5_130BEGINNG_5</vt:lpstr>
      <vt:lpstr>GMIC_22A_SCDPT5!SCDPT5_130BEGINNG_6</vt:lpstr>
      <vt:lpstr>GMIC_22A_SCDPT5!SCDPT5_130BEGINNG_7</vt:lpstr>
      <vt:lpstr>GMIC_22A_SCDPT5!SCDPT5_130BEGINNG_8</vt:lpstr>
      <vt:lpstr>GMIC_22A_SCDPT5!SCDPT5_130BEGINNG_9</vt:lpstr>
      <vt:lpstr>GMIC_22A_SCDPT5!SCDPT5_130ENDINGG_10</vt:lpstr>
      <vt:lpstr>GMIC_22A_SCDPT5!SCDPT5_130ENDINGG_11</vt:lpstr>
      <vt:lpstr>GMIC_22A_SCDPT5!SCDPT5_130ENDINGG_12</vt:lpstr>
      <vt:lpstr>GMIC_22A_SCDPT5!SCDPT5_130ENDINGG_13</vt:lpstr>
      <vt:lpstr>GMIC_22A_SCDPT5!SCDPT5_130ENDINGG_14</vt:lpstr>
      <vt:lpstr>GMIC_22A_SCDPT5!SCDPT5_130ENDINGG_15</vt:lpstr>
      <vt:lpstr>GMIC_22A_SCDPT5!SCDPT5_130ENDINGG_16</vt:lpstr>
      <vt:lpstr>GMIC_22A_SCDPT5!SCDPT5_130ENDINGG_17</vt:lpstr>
      <vt:lpstr>GMIC_22A_SCDPT5!SCDPT5_130ENDINGG_18</vt:lpstr>
      <vt:lpstr>GMIC_22A_SCDPT5!SCDPT5_130ENDINGG_19</vt:lpstr>
      <vt:lpstr>GMIC_22A_SCDPT5!SCDPT5_130ENDINGG_2</vt:lpstr>
      <vt:lpstr>GMIC_22A_SCDPT5!SCDPT5_130ENDINGG_20</vt:lpstr>
      <vt:lpstr>GMIC_22A_SCDPT5!SCDPT5_130ENDINGG_21</vt:lpstr>
      <vt:lpstr>GMIC_22A_SCDPT5!SCDPT5_130ENDINGG_22</vt:lpstr>
      <vt:lpstr>GMIC_22A_SCDPT5!SCDPT5_130ENDINGG_23</vt:lpstr>
      <vt:lpstr>GMIC_22A_SCDPT5!SCDPT5_130ENDINGG_24</vt:lpstr>
      <vt:lpstr>GMIC_22A_SCDPT5!SCDPT5_130ENDINGG_25</vt:lpstr>
      <vt:lpstr>GMIC_22A_SCDPT5!SCDPT5_130ENDINGG_26</vt:lpstr>
      <vt:lpstr>GMIC_22A_SCDPT5!SCDPT5_130ENDINGG_27</vt:lpstr>
      <vt:lpstr>GMIC_22A_SCDPT5!SCDPT5_130ENDINGG_3</vt:lpstr>
      <vt:lpstr>GMIC_22A_SCDPT5!SCDPT5_130ENDINGG_4</vt:lpstr>
      <vt:lpstr>GMIC_22A_SCDPT5!SCDPT5_130ENDINGG_5</vt:lpstr>
      <vt:lpstr>GMIC_22A_SCDPT5!SCDPT5_130ENDINGG_6</vt:lpstr>
      <vt:lpstr>GMIC_22A_SCDPT5!SCDPT5_130ENDINGG_7</vt:lpstr>
      <vt:lpstr>GMIC_22A_SCDPT5!SCDPT5_130ENDINGG_8</vt:lpstr>
      <vt:lpstr>GMIC_22A_SCDPT5!SCDPT5_130ENDINGG_9</vt:lpstr>
      <vt:lpstr>GMIC_22A_SCDPT5!SCDPT5_1500000000_Range</vt:lpstr>
      <vt:lpstr>GMIC_22A_SCDPT5!SCDPT5_1509999999_10</vt:lpstr>
      <vt:lpstr>GMIC_22A_SCDPT5!SCDPT5_1509999999_11</vt:lpstr>
      <vt:lpstr>GMIC_22A_SCDPT5!SCDPT5_1509999999_12</vt:lpstr>
      <vt:lpstr>GMIC_22A_SCDPT5!SCDPT5_1509999999_13</vt:lpstr>
      <vt:lpstr>GMIC_22A_SCDPT5!SCDPT5_1509999999_14</vt:lpstr>
      <vt:lpstr>GMIC_22A_SCDPT5!SCDPT5_1509999999_15</vt:lpstr>
      <vt:lpstr>GMIC_22A_SCDPT5!SCDPT5_1509999999_16</vt:lpstr>
      <vt:lpstr>GMIC_22A_SCDPT5!SCDPT5_1509999999_17</vt:lpstr>
      <vt:lpstr>GMIC_22A_SCDPT5!SCDPT5_1509999999_18</vt:lpstr>
      <vt:lpstr>GMIC_22A_SCDPT5!SCDPT5_1509999999_19</vt:lpstr>
      <vt:lpstr>GMIC_22A_SCDPT5!SCDPT5_1509999999_20</vt:lpstr>
      <vt:lpstr>GMIC_22A_SCDPT5!SCDPT5_1509999999_21</vt:lpstr>
      <vt:lpstr>GMIC_22A_SCDPT5!SCDPT5_1509999999_8</vt:lpstr>
      <vt:lpstr>GMIC_22A_SCDPT5!SCDPT5_1509999999_9</vt:lpstr>
      <vt:lpstr>GMIC_22A_SCDPT5!SCDPT5_150BEGINNG_1</vt:lpstr>
      <vt:lpstr>GMIC_22A_SCDPT5!SCDPT5_150BEGINNG_10</vt:lpstr>
      <vt:lpstr>GMIC_22A_SCDPT5!SCDPT5_150BEGINNG_11</vt:lpstr>
      <vt:lpstr>GMIC_22A_SCDPT5!SCDPT5_150BEGINNG_12</vt:lpstr>
      <vt:lpstr>GMIC_22A_SCDPT5!SCDPT5_150BEGINNG_13</vt:lpstr>
      <vt:lpstr>GMIC_22A_SCDPT5!SCDPT5_150BEGINNG_14</vt:lpstr>
      <vt:lpstr>GMIC_22A_SCDPT5!SCDPT5_150BEGINNG_15</vt:lpstr>
      <vt:lpstr>GMIC_22A_SCDPT5!SCDPT5_150BEGINNG_16</vt:lpstr>
      <vt:lpstr>GMIC_22A_SCDPT5!SCDPT5_150BEGINNG_17</vt:lpstr>
      <vt:lpstr>GMIC_22A_SCDPT5!SCDPT5_150BEGINNG_18</vt:lpstr>
      <vt:lpstr>GMIC_22A_SCDPT5!SCDPT5_150BEGINNG_19</vt:lpstr>
      <vt:lpstr>GMIC_22A_SCDPT5!SCDPT5_150BEGINNG_2</vt:lpstr>
      <vt:lpstr>GMIC_22A_SCDPT5!SCDPT5_150BEGINNG_20</vt:lpstr>
      <vt:lpstr>GMIC_22A_SCDPT5!SCDPT5_150BEGINNG_21</vt:lpstr>
      <vt:lpstr>GMIC_22A_SCDPT5!SCDPT5_150BEGINNG_22</vt:lpstr>
      <vt:lpstr>GMIC_22A_SCDPT5!SCDPT5_150BEGINNG_23</vt:lpstr>
      <vt:lpstr>GMIC_22A_SCDPT5!SCDPT5_150BEGINNG_24</vt:lpstr>
      <vt:lpstr>GMIC_22A_SCDPT5!SCDPT5_150BEGINNG_25</vt:lpstr>
      <vt:lpstr>GMIC_22A_SCDPT5!SCDPT5_150BEGINNG_26</vt:lpstr>
      <vt:lpstr>GMIC_22A_SCDPT5!SCDPT5_150BEGINNG_27</vt:lpstr>
      <vt:lpstr>GMIC_22A_SCDPT5!SCDPT5_150BEGINNG_3</vt:lpstr>
      <vt:lpstr>GMIC_22A_SCDPT5!SCDPT5_150BEGINNG_4</vt:lpstr>
      <vt:lpstr>GMIC_22A_SCDPT5!SCDPT5_150BEGINNG_5</vt:lpstr>
      <vt:lpstr>GMIC_22A_SCDPT5!SCDPT5_150BEGINNG_6</vt:lpstr>
      <vt:lpstr>GMIC_22A_SCDPT5!SCDPT5_150BEGINNG_7</vt:lpstr>
      <vt:lpstr>GMIC_22A_SCDPT5!SCDPT5_150BEGINNG_8</vt:lpstr>
      <vt:lpstr>GMIC_22A_SCDPT5!SCDPT5_150BEGINNG_9</vt:lpstr>
      <vt:lpstr>GMIC_22A_SCDPT5!SCDPT5_150ENDINGG_10</vt:lpstr>
      <vt:lpstr>GMIC_22A_SCDPT5!SCDPT5_150ENDINGG_11</vt:lpstr>
      <vt:lpstr>GMIC_22A_SCDPT5!SCDPT5_150ENDINGG_12</vt:lpstr>
      <vt:lpstr>GMIC_22A_SCDPT5!SCDPT5_150ENDINGG_13</vt:lpstr>
      <vt:lpstr>GMIC_22A_SCDPT5!SCDPT5_150ENDINGG_14</vt:lpstr>
      <vt:lpstr>GMIC_22A_SCDPT5!SCDPT5_150ENDINGG_15</vt:lpstr>
      <vt:lpstr>GMIC_22A_SCDPT5!SCDPT5_150ENDINGG_16</vt:lpstr>
      <vt:lpstr>GMIC_22A_SCDPT5!SCDPT5_150ENDINGG_17</vt:lpstr>
      <vt:lpstr>GMIC_22A_SCDPT5!SCDPT5_150ENDINGG_18</vt:lpstr>
      <vt:lpstr>GMIC_22A_SCDPT5!SCDPT5_150ENDINGG_19</vt:lpstr>
      <vt:lpstr>GMIC_22A_SCDPT5!SCDPT5_150ENDINGG_2</vt:lpstr>
      <vt:lpstr>GMIC_22A_SCDPT5!SCDPT5_150ENDINGG_20</vt:lpstr>
      <vt:lpstr>GMIC_22A_SCDPT5!SCDPT5_150ENDINGG_21</vt:lpstr>
      <vt:lpstr>GMIC_22A_SCDPT5!SCDPT5_150ENDINGG_22</vt:lpstr>
      <vt:lpstr>GMIC_22A_SCDPT5!SCDPT5_150ENDINGG_23</vt:lpstr>
      <vt:lpstr>GMIC_22A_SCDPT5!SCDPT5_150ENDINGG_24</vt:lpstr>
      <vt:lpstr>GMIC_22A_SCDPT5!SCDPT5_150ENDINGG_25</vt:lpstr>
      <vt:lpstr>GMIC_22A_SCDPT5!SCDPT5_150ENDINGG_26</vt:lpstr>
      <vt:lpstr>GMIC_22A_SCDPT5!SCDPT5_150ENDINGG_27</vt:lpstr>
      <vt:lpstr>GMIC_22A_SCDPT5!SCDPT5_150ENDINGG_3</vt:lpstr>
      <vt:lpstr>GMIC_22A_SCDPT5!SCDPT5_150ENDINGG_4</vt:lpstr>
      <vt:lpstr>GMIC_22A_SCDPT5!SCDPT5_150ENDINGG_5</vt:lpstr>
      <vt:lpstr>GMIC_22A_SCDPT5!SCDPT5_150ENDINGG_6</vt:lpstr>
      <vt:lpstr>GMIC_22A_SCDPT5!SCDPT5_150ENDINGG_7</vt:lpstr>
      <vt:lpstr>GMIC_22A_SCDPT5!SCDPT5_150ENDINGG_8</vt:lpstr>
      <vt:lpstr>GMIC_22A_SCDPT5!SCDPT5_150ENDINGG_9</vt:lpstr>
      <vt:lpstr>GMIC_22A_SCDPT5!SCDPT5_1610000000_Range</vt:lpstr>
      <vt:lpstr>GMIC_22A_SCDPT5!SCDPT5_1619999999_10</vt:lpstr>
      <vt:lpstr>GMIC_22A_SCDPT5!SCDPT5_1619999999_11</vt:lpstr>
      <vt:lpstr>GMIC_22A_SCDPT5!SCDPT5_1619999999_12</vt:lpstr>
      <vt:lpstr>GMIC_22A_SCDPT5!SCDPT5_1619999999_13</vt:lpstr>
      <vt:lpstr>GMIC_22A_SCDPT5!SCDPT5_1619999999_14</vt:lpstr>
      <vt:lpstr>GMIC_22A_SCDPT5!SCDPT5_1619999999_15</vt:lpstr>
      <vt:lpstr>GMIC_22A_SCDPT5!SCDPT5_1619999999_16</vt:lpstr>
      <vt:lpstr>GMIC_22A_SCDPT5!SCDPT5_1619999999_17</vt:lpstr>
      <vt:lpstr>GMIC_22A_SCDPT5!SCDPT5_1619999999_18</vt:lpstr>
      <vt:lpstr>GMIC_22A_SCDPT5!SCDPT5_1619999999_19</vt:lpstr>
      <vt:lpstr>GMIC_22A_SCDPT5!SCDPT5_1619999999_20</vt:lpstr>
      <vt:lpstr>GMIC_22A_SCDPT5!SCDPT5_1619999999_21</vt:lpstr>
      <vt:lpstr>GMIC_22A_SCDPT5!SCDPT5_1619999999_9</vt:lpstr>
      <vt:lpstr>GMIC_22A_SCDPT5!SCDPT5_161BEGINNG_1</vt:lpstr>
      <vt:lpstr>GMIC_22A_SCDPT5!SCDPT5_161BEGINNG_10</vt:lpstr>
      <vt:lpstr>GMIC_22A_SCDPT5!SCDPT5_161BEGINNG_11</vt:lpstr>
      <vt:lpstr>GMIC_22A_SCDPT5!SCDPT5_161BEGINNG_12</vt:lpstr>
      <vt:lpstr>GMIC_22A_SCDPT5!SCDPT5_161BEGINNG_13</vt:lpstr>
      <vt:lpstr>GMIC_22A_SCDPT5!SCDPT5_161BEGINNG_14</vt:lpstr>
      <vt:lpstr>GMIC_22A_SCDPT5!SCDPT5_161BEGINNG_15</vt:lpstr>
      <vt:lpstr>GMIC_22A_SCDPT5!SCDPT5_161BEGINNG_16</vt:lpstr>
      <vt:lpstr>GMIC_22A_SCDPT5!SCDPT5_161BEGINNG_17</vt:lpstr>
      <vt:lpstr>GMIC_22A_SCDPT5!SCDPT5_161BEGINNG_18</vt:lpstr>
      <vt:lpstr>GMIC_22A_SCDPT5!SCDPT5_161BEGINNG_19</vt:lpstr>
      <vt:lpstr>GMIC_22A_SCDPT5!SCDPT5_161BEGINNG_2</vt:lpstr>
      <vt:lpstr>GMIC_22A_SCDPT5!SCDPT5_161BEGINNG_20</vt:lpstr>
      <vt:lpstr>GMIC_22A_SCDPT5!SCDPT5_161BEGINNG_21</vt:lpstr>
      <vt:lpstr>GMIC_22A_SCDPT5!SCDPT5_161BEGINNG_22</vt:lpstr>
      <vt:lpstr>GMIC_22A_SCDPT5!SCDPT5_161BEGINNG_23</vt:lpstr>
      <vt:lpstr>GMIC_22A_SCDPT5!SCDPT5_161BEGINNG_24</vt:lpstr>
      <vt:lpstr>GMIC_22A_SCDPT5!SCDPT5_161BEGINNG_25</vt:lpstr>
      <vt:lpstr>GMIC_22A_SCDPT5!SCDPT5_161BEGINNG_26</vt:lpstr>
      <vt:lpstr>GMIC_22A_SCDPT5!SCDPT5_161BEGINNG_27</vt:lpstr>
      <vt:lpstr>GMIC_22A_SCDPT5!SCDPT5_161BEGINNG_3</vt:lpstr>
      <vt:lpstr>GMIC_22A_SCDPT5!SCDPT5_161BEGINNG_4</vt:lpstr>
      <vt:lpstr>GMIC_22A_SCDPT5!SCDPT5_161BEGINNG_5</vt:lpstr>
      <vt:lpstr>GMIC_22A_SCDPT5!SCDPT5_161BEGINNG_6</vt:lpstr>
      <vt:lpstr>GMIC_22A_SCDPT5!SCDPT5_161BEGINNG_7</vt:lpstr>
      <vt:lpstr>GMIC_22A_SCDPT5!SCDPT5_161BEGINNG_8</vt:lpstr>
      <vt:lpstr>GMIC_22A_SCDPT5!SCDPT5_161BEGINNG_9</vt:lpstr>
      <vt:lpstr>GMIC_22A_SCDPT5!SCDPT5_161ENDINGG_10</vt:lpstr>
      <vt:lpstr>GMIC_22A_SCDPT5!SCDPT5_161ENDINGG_11</vt:lpstr>
      <vt:lpstr>GMIC_22A_SCDPT5!SCDPT5_161ENDINGG_12</vt:lpstr>
      <vt:lpstr>GMIC_22A_SCDPT5!SCDPT5_161ENDINGG_13</vt:lpstr>
      <vt:lpstr>GMIC_22A_SCDPT5!SCDPT5_161ENDINGG_14</vt:lpstr>
      <vt:lpstr>GMIC_22A_SCDPT5!SCDPT5_161ENDINGG_15</vt:lpstr>
      <vt:lpstr>GMIC_22A_SCDPT5!SCDPT5_161ENDINGG_16</vt:lpstr>
      <vt:lpstr>GMIC_22A_SCDPT5!SCDPT5_161ENDINGG_17</vt:lpstr>
      <vt:lpstr>GMIC_22A_SCDPT5!SCDPT5_161ENDINGG_18</vt:lpstr>
      <vt:lpstr>GMIC_22A_SCDPT5!SCDPT5_161ENDINGG_19</vt:lpstr>
      <vt:lpstr>GMIC_22A_SCDPT5!SCDPT5_161ENDINGG_2</vt:lpstr>
      <vt:lpstr>GMIC_22A_SCDPT5!SCDPT5_161ENDINGG_20</vt:lpstr>
      <vt:lpstr>GMIC_22A_SCDPT5!SCDPT5_161ENDINGG_21</vt:lpstr>
      <vt:lpstr>GMIC_22A_SCDPT5!SCDPT5_161ENDINGG_22</vt:lpstr>
      <vt:lpstr>GMIC_22A_SCDPT5!SCDPT5_161ENDINGG_23</vt:lpstr>
      <vt:lpstr>GMIC_22A_SCDPT5!SCDPT5_161ENDINGG_24</vt:lpstr>
      <vt:lpstr>GMIC_22A_SCDPT5!SCDPT5_161ENDINGG_25</vt:lpstr>
      <vt:lpstr>GMIC_22A_SCDPT5!SCDPT5_161ENDINGG_26</vt:lpstr>
      <vt:lpstr>GMIC_22A_SCDPT5!SCDPT5_161ENDINGG_27</vt:lpstr>
      <vt:lpstr>GMIC_22A_SCDPT5!SCDPT5_161ENDINGG_3</vt:lpstr>
      <vt:lpstr>GMIC_22A_SCDPT5!SCDPT5_161ENDINGG_4</vt:lpstr>
      <vt:lpstr>GMIC_22A_SCDPT5!SCDPT5_161ENDINGG_5</vt:lpstr>
      <vt:lpstr>GMIC_22A_SCDPT5!SCDPT5_161ENDINGG_6</vt:lpstr>
      <vt:lpstr>GMIC_22A_SCDPT5!SCDPT5_161ENDINGG_7</vt:lpstr>
      <vt:lpstr>GMIC_22A_SCDPT5!SCDPT5_161ENDINGG_8</vt:lpstr>
      <vt:lpstr>GMIC_22A_SCDPT5!SCDPT5_161ENDINGG_9</vt:lpstr>
      <vt:lpstr>GMIC_22A_SCDPT5!SCDPT5_1900000000_Range</vt:lpstr>
      <vt:lpstr>GMIC_22A_SCDPT5!SCDPT5_1909999999_10</vt:lpstr>
      <vt:lpstr>GMIC_22A_SCDPT5!SCDPT5_1909999999_11</vt:lpstr>
      <vt:lpstr>GMIC_22A_SCDPT5!SCDPT5_1909999999_12</vt:lpstr>
      <vt:lpstr>GMIC_22A_SCDPT5!SCDPT5_1909999999_13</vt:lpstr>
      <vt:lpstr>GMIC_22A_SCDPT5!SCDPT5_1909999999_14</vt:lpstr>
      <vt:lpstr>GMIC_22A_SCDPT5!SCDPT5_1909999999_15</vt:lpstr>
      <vt:lpstr>GMIC_22A_SCDPT5!SCDPT5_1909999999_16</vt:lpstr>
      <vt:lpstr>GMIC_22A_SCDPT5!SCDPT5_1909999999_17</vt:lpstr>
      <vt:lpstr>GMIC_22A_SCDPT5!SCDPT5_1909999999_18</vt:lpstr>
      <vt:lpstr>GMIC_22A_SCDPT5!SCDPT5_1909999999_19</vt:lpstr>
      <vt:lpstr>GMIC_22A_SCDPT5!SCDPT5_1909999999_20</vt:lpstr>
      <vt:lpstr>GMIC_22A_SCDPT5!SCDPT5_1909999999_21</vt:lpstr>
      <vt:lpstr>GMIC_22A_SCDPT5!SCDPT5_1909999999_8</vt:lpstr>
      <vt:lpstr>GMIC_22A_SCDPT5!SCDPT5_1909999999_9</vt:lpstr>
      <vt:lpstr>GMIC_22A_SCDPT5!SCDPT5_190BEGINNG_1</vt:lpstr>
      <vt:lpstr>GMIC_22A_SCDPT5!SCDPT5_190BEGINNG_10</vt:lpstr>
      <vt:lpstr>GMIC_22A_SCDPT5!SCDPT5_190BEGINNG_11</vt:lpstr>
      <vt:lpstr>GMIC_22A_SCDPT5!SCDPT5_190BEGINNG_12</vt:lpstr>
      <vt:lpstr>GMIC_22A_SCDPT5!SCDPT5_190BEGINNG_13</vt:lpstr>
      <vt:lpstr>GMIC_22A_SCDPT5!SCDPT5_190BEGINNG_14</vt:lpstr>
      <vt:lpstr>GMIC_22A_SCDPT5!SCDPT5_190BEGINNG_15</vt:lpstr>
      <vt:lpstr>GMIC_22A_SCDPT5!SCDPT5_190BEGINNG_16</vt:lpstr>
      <vt:lpstr>GMIC_22A_SCDPT5!SCDPT5_190BEGINNG_17</vt:lpstr>
      <vt:lpstr>GMIC_22A_SCDPT5!SCDPT5_190BEGINNG_18</vt:lpstr>
      <vt:lpstr>GMIC_22A_SCDPT5!SCDPT5_190BEGINNG_19</vt:lpstr>
      <vt:lpstr>GMIC_22A_SCDPT5!SCDPT5_190BEGINNG_2</vt:lpstr>
      <vt:lpstr>GMIC_22A_SCDPT5!SCDPT5_190BEGINNG_20</vt:lpstr>
      <vt:lpstr>GMIC_22A_SCDPT5!SCDPT5_190BEGINNG_21</vt:lpstr>
      <vt:lpstr>GMIC_22A_SCDPT5!SCDPT5_190BEGINNG_22</vt:lpstr>
      <vt:lpstr>GMIC_22A_SCDPT5!SCDPT5_190BEGINNG_23</vt:lpstr>
      <vt:lpstr>GMIC_22A_SCDPT5!SCDPT5_190BEGINNG_24</vt:lpstr>
      <vt:lpstr>GMIC_22A_SCDPT5!SCDPT5_190BEGINNG_25</vt:lpstr>
      <vt:lpstr>GMIC_22A_SCDPT5!SCDPT5_190BEGINNG_26</vt:lpstr>
      <vt:lpstr>GMIC_22A_SCDPT5!SCDPT5_190BEGINNG_27</vt:lpstr>
      <vt:lpstr>GMIC_22A_SCDPT5!SCDPT5_190BEGINNG_3</vt:lpstr>
      <vt:lpstr>GMIC_22A_SCDPT5!SCDPT5_190BEGINNG_4</vt:lpstr>
      <vt:lpstr>GMIC_22A_SCDPT5!SCDPT5_190BEGINNG_5</vt:lpstr>
      <vt:lpstr>GMIC_22A_SCDPT5!SCDPT5_190BEGINNG_6</vt:lpstr>
      <vt:lpstr>GMIC_22A_SCDPT5!SCDPT5_190BEGINNG_7</vt:lpstr>
      <vt:lpstr>GMIC_22A_SCDPT5!SCDPT5_190BEGINNG_8</vt:lpstr>
      <vt:lpstr>GMIC_22A_SCDPT5!SCDPT5_190BEGINNG_9</vt:lpstr>
      <vt:lpstr>GMIC_22A_SCDPT5!SCDPT5_190ENDINGG_10</vt:lpstr>
      <vt:lpstr>GMIC_22A_SCDPT5!SCDPT5_190ENDINGG_11</vt:lpstr>
      <vt:lpstr>GMIC_22A_SCDPT5!SCDPT5_190ENDINGG_12</vt:lpstr>
      <vt:lpstr>GMIC_22A_SCDPT5!SCDPT5_190ENDINGG_13</vt:lpstr>
      <vt:lpstr>GMIC_22A_SCDPT5!SCDPT5_190ENDINGG_14</vt:lpstr>
      <vt:lpstr>GMIC_22A_SCDPT5!SCDPT5_190ENDINGG_15</vt:lpstr>
      <vt:lpstr>GMIC_22A_SCDPT5!SCDPT5_190ENDINGG_16</vt:lpstr>
      <vt:lpstr>GMIC_22A_SCDPT5!SCDPT5_190ENDINGG_17</vt:lpstr>
      <vt:lpstr>GMIC_22A_SCDPT5!SCDPT5_190ENDINGG_18</vt:lpstr>
      <vt:lpstr>GMIC_22A_SCDPT5!SCDPT5_190ENDINGG_19</vt:lpstr>
      <vt:lpstr>GMIC_22A_SCDPT5!SCDPT5_190ENDINGG_2</vt:lpstr>
      <vt:lpstr>GMIC_22A_SCDPT5!SCDPT5_190ENDINGG_20</vt:lpstr>
      <vt:lpstr>GMIC_22A_SCDPT5!SCDPT5_190ENDINGG_21</vt:lpstr>
      <vt:lpstr>GMIC_22A_SCDPT5!SCDPT5_190ENDINGG_22</vt:lpstr>
      <vt:lpstr>GMIC_22A_SCDPT5!SCDPT5_190ENDINGG_23</vt:lpstr>
      <vt:lpstr>GMIC_22A_SCDPT5!SCDPT5_190ENDINGG_24</vt:lpstr>
      <vt:lpstr>GMIC_22A_SCDPT5!SCDPT5_190ENDINGG_25</vt:lpstr>
      <vt:lpstr>GMIC_22A_SCDPT5!SCDPT5_190ENDINGG_26</vt:lpstr>
      <vt:lpstr>GMIC_22A_SCDPT5!SCDPT5_190ENDINGG_27</vt:lpstr>
      <vt:lpstr>GMIC_22A_SCDPT5!SCDPT5_190ENDINGG_3</vt:lpstr>
      <vt:lpstr>GMIC_22A_SCDPT5!SCDPT5_190ENDINGG_4</vt:lpstr>
      <vt:lpstr>GMIC_22A_SCDPT5!SCDPT5_190ENDINGG_5</vt:lpstr>
      <vt:lpstr>GMIC_22A_SCDPT5!SCDPT5_190ENDINGG_6</vt:lpstr>
      <vt:lpstr>GMIC_22A_SCDPT5!SCDPT5_190ENDINGG_7</vt:lpstr>
      <vt:lpstr>GMIC_22A_SCDPT5!SCDPT5_190ENDINGG_8</vt:lpstr>
      <vt:lpstr>GMIC_22A_SCDPT5!SCDPT5_190ENDINGG_9</vt:lpstr>
      <vt:lpstr>GMIC_22A_SCDPT5!SCDPT5_2010000000_Range</vt:lpstr>
      <vt:lpstr>GMIC_22A_SCDPT5!SCDPT5_2019999999_10</vt:lpstr>
      <vt:lpstr>GMIC_22A_SCDPT5!SCDPT5_2019999999_11</vt:lpstr>
      <vt:lpstr>GMIC_22A_SCDPT5!SCDPT5_2019999999_12</vt:lpstr>
      <vt:lpstr>GMIC_22A_SCDPT5!SCDPT5_2019999999_13</vt:lpstr>
      <vt:lpstr>GMIC_22A_SCDPT5!SCDPT5_2019999999_14</vt:lpstr>
      <vt:lpstr>GMIC_22A_SCDPT5!SCDPT5_2019999999_15</vt:lpstr>
      <vt:lpstr>GMIC_22A_SCDPT5!SCDPT5_2019999999_16</vt:lpstr>
      <vt:lpstr>GMIC_22A_SCDPT5!SCDPT5_2019999999_17</vt:lpstr>
      <vt:lpstr>GMIC_22A_SCDPT5!SCDPT5_2019999999_18</vt:lpstr>
      <vt:lpstr>GMIC_22A_SCDPT5!SCDPT5_2019999999_19</vt:lpstr>
      <vt:lpstr>GMIC_22A_SCDPT5!SCDPT5_2019999999_20</vt:lpstr>
      <vt:lpstr>GMIC_22A_SCDPT5!SCDPT5_2019999999_21</vt:lpstr>
      <vt:lpstr>GMIC_22A_SCDPT5!SCDPT5_2019999999_8</vt:lpstr>
      <vt:lpstr>GMIC_22A_SCDPT5!SCDPT5_2019999999_9</vt:lpstr>
      <vt:lpstr>GMIC_22A_SCDPT5!SCDPT5_201BEGINNG_1</vt:lpstr>
      <vt:lpstr>GMIC_22A_SCDPT5!SCDPT5_201BEGINNG_10</vt:lpstr>
      <vt:lpstr>GMIC_22A_SCDPT5!SCDPT5_201BEGINNG_11</vt:lpstr>
      <vt:lpstr>GMIC_22A_SCDPT5!SCDPT5_201BEGINNG_12</vt:lpstr>
      <vt:lpstr>GMIC_22A_SCDPT5!SCDPT5_201BEGINNG_13</vt:lpstr>
      <vt:lpstr>GMIC_22A_SCDPT5!SCDPT5_201BEGINNG_14</vt:lpstr>
      <vt:lpstr>GMIC_22A_SCDPT5!SCDPT5_201BEGINNG_15</vt:lpstr>
      <vt:lpstr>GMIC_22A_SCDPT5!SCDPT5_201BEGINNG_16</vt:lpstr>
      <vt:lpstr>GMIC_22A_SCDPT5!SCDPT5_201BEGINNG_17</vt:lpstr>
      <vt:lpstr>GMIC_22A_SCDPT5!SCDPT5_201BEGINNG_18</vt:lpstr>
      <vt:lpstr>GMIC_22A_SCDPT5!SCDPT5_201BEGINNG_19</vt:lpstr>
      <vt:lpstr>GMIC_22A_SCDPT5!SCDPT5_201BEGINNG_2</vt:lpstr>
      <vt:lpstr>GMIC_22A_SCDPT5!SCDPT5_201BEGINNG_20</vt:lpstr>
      <vt:lpstr>GMIC_22A_SCDPT5!SCDPT5_201BEGINNG_21</vt:lpstr>
      <vt:lpstr>GMIC_22A_SCDPT5!SCDPT5_201BEGINNG_22</vt:lpstr>
      <vt:lpstr>GMIC_22A_SCDPT5!SCDPT5_201BEGINNG_23</vt:lpstr>
      <vt:lpstr>GMIC_22A_SCDPT5!SCDPT5_201BEGINNG_24</vt:lpstr>
      <vt:lpstr>GMIC_22A_SCDPT5!SCDPT5_201BEGINNG_25</vt:lpstr>
      <vt:lpstr>GMIC_22A_SCDPT5!SCDPT5_201BEGINNG_26</vt:lpstr>
      <vt:lpstr>GMIC_22A_SCDPT5!SCDPT5_201BEGINNG_27</vt:lpstr>
      <vt:lpstr>GMIC_22A_SCDPT5!SCDPT5_201BEGINNG_3</vt:lpstr>
      <vt:lpstr>GMIC_22A_SCDPT5!SCDPT5_201BEGINNG_4</vt:lpstr>
      <vt:lpstr>GMIC_22A_SCDPT5!SCDPT5_201BEGINNG_5</vt:lpstr>
      <vt:lpstr>GMIC_22A_SCDPT5!SCDPT5_201BEGINNG_6</vt:lpstr>
      <vt:lpstr>GMIC_22A_SCDPT5!SCDPT5_201BEGINNG_7</vt:lpstr>
      <vt:lpstr>GMIC_22A_SCDPT5!SCDPT5_201BEGINNG_8</vt:lpstr>
      <vt:lpstr>GMIC_22A_SCDPT5!SCDPT5_201BEGINNG_9</vt:lpstr>
      <vt:lpstr>GMIC_22A_SCDPT5!SCDPT5_201ENDINGG_10</vt:lpstr>
      <vt:lpstr>GMIC_22A_SCDPT5!SCDPT5_201ENDINGG_11</vt:lpstr>
      <vt:lpstr>GMIC_22A_SCDPT5!SCDPT5_201ENDINGG_12</vt:lpstr>
      <vt:lpstr>GMIC_22A_SCDPT5!SCDPT5_201ENDINGG_13</vt:lpstr>
      <vt:lpstr>GMIC_22A_SCDPT5!SCDPT5_201ENDINGG_14</vt:lpstr>
      <vt:lpstr>GMIC_22A_SCDPT5!SCDPT5_201ENDINGG_15</vt:lpstr>
      <vt:lpstr>GMIC_22A_SCDPT5!SCDPT5_201ENDINGG_16</vt:lpstr>
      <vt:lpstr>GMIC_22A_SCDPT5!SCDPT5_201ENDINGG_17</vt:lpstr>
      <vt:lpstr>GMIC_22A_SCDPT5!SCDPT5_201ENDINGG_18</vt:lpstr>
      <vt:lpstr>GMIC_22A_SCDPT5!SCDPT5_201ENDINGG_19</vt:lpstr>
      <vt:lpstr>GMIC_22A_SCDPT5!SCDPT5_201ENDINGG_2</vt:lpstr>
      <vt:lpstr>GMIC_22A_SCDPT5!SCDPT5_201ENDINGG_20</vt:lpstr>
      <vt:lpstr>GMIC_22A_SCDPT5!SCDPT5_201ENDINGG_21</vt:lpstr>
      <vt:lpstr>GMIC_22A_SCDPT5!SCDPT5_201ENDINGG_22</vt:lpstr>
      <vt:lpstr>GMIC_22A_SCDPT5!SCDPT5_201ENDINGG_23</vt:lpstr>
      <vt:lpstr>GMIC_22A_SCDPT5!SCDPT5_201ENDINGG_24</vt:lpstr>
      <vt:lpstr>GMIC_22A_SCDPT5!SCDPT5_201ENDINGG_25</vt:lpstr>
      <vt:lpstr>GMIC_22A_SCDPT5!SCDPT5_201ENDINGG_26</vt:lpstr>
      <vt:lpstr>GMIC_22A_SCDPT5!SCDPT5_201ENDINGG_27</vt:lpstr>
      <vt:lpstr>GMIC_22A_SCDPT5!SCDPT5_201ENDINGG_3</vt:lpstr>
      <vt:lpstr>GMIC_22A_SCDPT5!SCDPT5_201ENDINGG_4</vt:lpstr>
      <vt:lpstr>GMIC_22A_SCDPT5!SCDPT5_201ENDINGG_5</vt:lpstr>
      <vt:lpstr>GMIC_22A_SCDPT5!SCDPT5_201ENDINGG_6</vt:lpstr>
      <vt:lpstr>GMIC_22A_SCDPT5!SCDPT5_201ENDINGG_7</vt:lpstr>
      <vt:lpstr>GMIC_22A_SCDPT5!SCDPT5_201ENDINGG_8</vt:lpstr>
      <vt:lpstr>GMIC_22A_SCDPT5!SCDPT5_201ENDINGG_9</vt:lpstr>
      <vt:lpstr>GMIC_22A_SCDPT5!SCDPT5_2509999998_10</vt:lpstr>
      <vt:lpstr>GMIC_22A_SCDPT5!SCDPT5_2509999998_11</vt:lpstr>
      <vt:lpstr>GMIC_22A_SCDPT5!SCDPT5_2509999998_12</vt:lpstr>
      <vt:lpstr>GMIC_22A_SCDPT5!SCDPT5_2509999998_13</vt:lpstr>
      <vt:lpstr>GMIC_22A_SCDPT5!SCDPT5_2509999998_14</vt:lpstr>
      <vt:lpstr>GMIC_22A_SCDPT5!SCDPT5_2509999998_15</vt:lpstr>
      <vt:lpstr>GMIC_22A_SCDPT5!SCDPT5_2509999998_16</vt:lpstr>
      <vt:lpstr>GMIC_22A_SCDPT5!SCDPT5_2509999998_17</vt:lpstr>
      <vt:lpstr>GMIC_22A_SCDPT5!SCDPT5_2509999998_18</vt:lpstr>
      <vt:lpstr>GMIC_22A_SCDPT5!SCDPT5_2509999998_19</vt:lpstr>
      <vt:lpstr>GMIC_22A_SCDPT5!SCDPT5_2509999998_20</vt:lpstr>
      <vt:lpstr>GMIC_22A_SCDPT5!SCDPT5_2509999998_21</vt:lpstr>
      <vt:lpstr>GMIC_22A_SCDPT5!SCDPT5_2509999998_8</vt:lpstr>
      <vt:lpstr>GMIC_22A_SCDPT5!SCDPT5_2509999998_9</vt:lpstr>
      <vt:lpstr>GMIC_22A_SCDPT5!SCDPT5_4010000000_Range</vt:lpstr>
      <vt:lpstr>GMIC_22A_SCDPT5!SCDPT5_4019999999_10</vt:lpstr>
      <vt:lpstr>GMIC_22A_SCDPT5!SCDPT5_4019999999_11</vt:lpstr>
      <vt:lpstr>GMIC_22A_SCDPT5!SCDPT5_4019999999_12</vt:lpstr>
      <vt:lpstr>GMIC_22A_SCDPT5!SCDPT5_4019999999_13</vt:lpstr>
      <vt:lpstr>GMIC_22A_SCDPT5!SCDPT5_4019999999_14</vt:lpstr>
      <vt:lpstr>GMIC_22A_SCDPT5!SCDPT5_4019999999_15</vt:lpstr>
      <vt:lpstr>GMIC_22A_SCDPT5!SCDPT5_4019999999_16</vt:lpstr>
      <vt:lpstr>GMIC_22A_SCDPT5!SCDPT5_4019999999_17</vt:lpstr>
      <vt:lpstr>GMIC_22A_SCDPT5!SCDPT5_4019999999_18</vt:lpstr>
      <vt:lpstr>GMIC_22A_SCDPT5!SCDPT5_4019999999_19</vt:lpstr>
      <vt:lpstr>GMIC_22A_SCDPT5!SCDPT5_4019999999_20</vt:lpstr>
      <vt:lpstr>GMIC_22A_SCDPT5!SCDPT5_4019999999_21</vt:lpstr>
      <vt:lpstr>GMIC_22A_SCDPT5!SCDPT5_4019999999_9</vt:lpstr>
      <vt:lpstr>GMIC_22A_SCDPT5!SCDPT5_401BEGINNG_1</vt:lpstr>
      <vt:lpstr>GMIC_22A_SCDPT5!SCDPT5_401BEGINNG_10</vt:lpstr>
      <vt:lpstr>GMIC_22A_SCDPT5!SCDPT5_401BEGINNG_11</vt:lpstr>
      <vt:lpstr>GMIC_22A_SCDPT5!SCDPT5_401BEGINNG_12</vt:lpstr>
      <vt:lpstr>GMIC_22A_SCDPT5!SCDPT5_401BEGINNG_13</vt:lpstr>
      <vt:lpstr>GMIC_22A_SCDPT5!SCDPT5_401BEGINNG_14</vt:lpstr>
      <vt:lpstr>GMIC_22A_SCDPT5!SCDPT5_401BEGINNG_15</vt:lpstr>
      <vt:lpstr>GMIC_22A_SCDPT5!SCDPT5_401BEGINNG_16</vt:lpstr>
      <vt:lpstr>GMIC_22A_SCDPT5!SCDPT5_401BEGINNG_17</vt:lpstr>
      <vt:lpstr>GMIC_22A_SCDPT5!SCDPT5_401BEGINNG_18</vt:lpstr>
      <vt:lpstr>GMIC_22A_SCDPT5!SCDPT5_401BEGINNG_19</vt:lpstr>
      <vt:lpstr>GMIC_22A_SCDPT5!SCDPT5_401BEGINNG_2</vt:lpstr>
      <vt:lpstr>GMIC_22A_SCDPT5!SCDPT5_401BEGINNG_20</vt:lpstr>
      <vt:lpstr>GMIC_22A_SCDPT5!SCDPT5_401BEGINNG_21</vt:lpstr>
      <vt:lpstr>GMIC_22A_SCDPT5!SCDPT5_401BEGINNG_22</vt:lpstr>
      <vt:lpstr>GMIC_22A_SCDPT5!SCDPT5_401BEGINNG_23</vt:lpstr>
      <vt:lpstr>GMIC_22A_SCDPT5!SCDPT5_401BEGINNG_24</vt:lpstr>
      <vt:lpstr>GMIC_22A_SCDPT5!SCDPT5_401BEGINNG_25</vt:lpstr>
      <vt:lpstr>GMIC_22A_SCDPT5!SCDPT5_401BEGINNG_26</vt:lpstr>
      <vt:lpstr>GMIC_22A_SCDPT5!SCDPT5_401BEGINNG_27</vt:lpstr>
      <vt:lpstr>GMIC_22A_SCDPT5!SCDPT5_401BEGINNG_3</vt:lpstr>
      <vt:lpstr>GMIC_22A_SCDPT5!SCDPT5_401BEGINNG_4</vt:lpstr>
      <vt:lpstr>GMIC_22A_SCDPT5!SCDPT5_401BEGINNG_5</vt:lpstr>
      <vt:lpstr>GMIC_22A_SCDPT5!SCDPT5_401BEGINNG_6</vt:lpstr>
      <vt:lpstr>GMIC_22A_SCDPT5!SCDPT5_401BEGINNG_7</vt:lpstr>
      <vt:lpstr>GMIC_22A_SCDPT5!SCDPT5_401BEGINNG_8</vt:lpstr>
      <vt:lpstr>GMIC_22A_SCDPT5!SCDPT5_401BEGINNG_9</vt:lpstr>
      <vt:lpstr>GMIC_22A_SCDPT5!SCDPT5_401ENDINGG_10</vt:lpstr>
      <vt:lpstr>GMIC_22A_SCDPT5!SCDPT5_401ENDINGG_11</vt:lpstr>
      <vt:lpstr>GMIC_22A_SCDPT5!SCDPT5_401ENDINGG_12</vt:lpstr>
      <vt:lpstr>GMIC_22A_SCDPT5!SCDPT5_401ENDINGG_13</vt:lpstr>
      <vt:lpstr>GMIC_22A_SCDPT5!SCDPT5_401ENDINGG_14</vt:lpstr>
      <vt:lpstr>GMIC_22A_SCDPT5!SCDPT5_401ENDINGG_15</vt:lpstr>
      <vt:lpstr>GMIC_22A_SCDPT5!SCDPT5_401ENDINGG_16</vt:lpstr>
      <vt:lpstr>GMIC_22A_SCDPT5!SCDPT5_401ENDINGG_17</vt:lpstr>
      <vt:lpstr>GMIC_22A_SCDPT5!SCDPT5_401ENDINGG_18</vt:lpstr>
      <vt:lpstr>GMIC_22A_SCDPT5!SCDPT5_401ENDINGG_19</vt:lpstr>
      <vt:lpstr>GMIC_22A_SCDPT5!SCDPT5_401ENDINGG_2</vt:lpstr>
      <vt:lpstr>GMIC_22A_SCDPT5!SCDPT5_401ENDINGG_20</vt:lpstr>
      <vt:lpstr>GMIC_22A_SCDPT5!SCDPT5_401ENDINGG_21</vt:lpstr>
      <vt:lpstr>GMIC_22A_SCDPT5!SCDPT5_401ENDINGG_22</vt:lpstr>
      <vt:lpstr>GMIC_22A_SCDPT5!SCDPT5_401ENDINGG_23</vt:lpstr>
      <vt:lpstr>GMIC_22A_SCDPT5!SCDPT5_401ENDINGG_24</vt:lpstr>
      <vt:lpstr>GMIC_22A_SCDPT5!SCDPT5_401ENDINGG_25</vt:lpstr>
      <vt:lpstr>GMIC_22A_SCDPT5!SCDPT5_401ENDINGG_26</vt:lpstr>
      <vt:lpstr>GMIC_22A_SCDPT5!SCDPT5_401ENDINGG_27</vt:lpstr>
      <vt:lpstr>GMIC_22A_SCDPT5!SCDPT5_401ENDINGG_3</vt:lpstr>
      <vt:lpstr>GMIC_22A_SCDPT5!SCDPT5_401ENDINGG_4</vt:lpstr>
      <vt:lpstr>GMIC_22A_SCDPT5!SCDPT5_401ENDINGG_5</vt:lpstr>
      <vt:lpstr>GMIC_22A_SCDPT5!SCDPT5_401ENDINGG_6</vt:lpstr>
      <vt:lpstr>GMIC_22A_SCDPT5!SCDPT5_401ENDINGG_7</vt:lpstr>
      <vt:lpstr>GMIC_22A_SCDPT5!SCDPT5_401ENDINGG_8</vt:lpstr>
      <vt:lpstr>GMIC_22A_SCDPT5!SCDPT5_401ENDINGG_9</vt:lpstr>
      <vt:lpstr>GMIC_22A_SCDPT5!SCDPT5_4020000000_Range</vt:lpstr>
      <vt:lpstr>GMIC_22A_SCDPT5!SCDPT5_4029999999_10</vt:lpstr>
      <vt:lpstr>GMIC_22A_SCDPT5!SCDPT5_4029999999_11</vt:lpstr>
      <vt:lpstr>GMIC_22A_SCDPT5!SCDPT5_4029999999_12</vt:lpstr>
      <vt:lpstr>GMIC_22A_SCDPT5!SCDPT5_4029999999_13</vt:lpstr>
      <vt:lpstr>GMIC_22A_SCDPT5!SCDPT5_4029999999_14</vt:lpstr>
      <vt:lpstr>GMIC_22A_SCDPT5!SCDPT5_4029999999_15</vt:lpstr>
      <vt:lpstr>GMIC_22A_SCDPT5!SCDPT5_4029999999_16</vt:lpstr>
      <vt:lpstr>GMIC_22A_SCDPT5!SCDPT5_4029999999_17</vt:lpstr>
      <vt:lpstr>GMIC_22A_SCDPT5!SCDPT5_4029999999_18</vt:lpstr>
      <vt:lpstr>GMIC_22A_SCDPT5!SCDPT5_4029999999_19</vt:lpstr>
      <vt:lpstr>GMIC_22A_SCDPT5!SCDPT5_4029999999_20</vt:lpstr>
      <vt:lpstr>GMIC_22A_SCDPT5!SCDPT5_4029999999_21</vt:lpstr>
      <vt:lpstr>GMIC_22A_SCDPT5!SCDPT5_4029999999_9</vt:lpstr>
      <vt:lpstr>GMIC_22A_SCDPT5!SCDPT5_402BEGINNG_1</vt:lpstr>
      <vt:lpstr>GMIC_22A_SCDPT5!SCDPT5_402BEGINNG_10</vt:lpstr>
      <vt:lpstr>GMIC_22A_SCDPT5!SCDPT5_402BEGINNG_11</vt:lpstr>
      <vt:lpstr>GMIC_22A_SCDPT5!SCDPT5_402BEGINNG_12</vt:lpstr>
      <vt:lpstr>GMIC_22A_SCDPT5!SCDPT5_402BEGINNG_13</vt:lpstr>
      <vt:lpstr>GMIC_22A_SCDPT5!SCDPT5_402BEGINNG_14</vt:lpstr>
      <vt:lpstr>GMIC_22A_SCDPT5!SCDPT5_402BEGINNG_15</vt:lpstr>
      <vt:lpstr>GMIC_22A_SCDPT5!SCDPT5_402BEGINNG_16</vt:lpstr>
      <vt:lpstr>GMIC_22A_SCDPT5!SCDPT5_402BEGINNG_17</vt:lpstr>
      <vt:lpstr>GMIC_22A_SCDPT5!SCDPT5_402BEGINNG_18</vt:lpstr>
      <vt:lpstr>GMIC_22A_SCDPT5!SCDPT5_402BEGINNG_19</vt:lpstr>
      <vt:lpstr>GMIC_22A_SCDPT5!SCDPT5_402BEGINNG_2</vt:lpstr>
      <vt:lpstr>GMIC_22A_SCDPT5!SCDPT5_402BEGINNG_20</vt:lpstr>
      <vt:lpstr>GMIC_22A_SCDPT5!SCDPT5_402BEGINNG_21</vt:lpstr>
      <vt:lpstr>GMIC_22A_SCDPT5!SCDPT5_402BEGINNG_22</vt:lpstr>
      <vt:lpstr>GMIC_22A_SCDPT5!SCDPT5_402BEGINNG_23</vt:lpstr>
      <vt:lpstr>GMIC_22A_SCDPT5!SCDPT5_402BEGINNG_24</vt:lpstr>
      <vt:lpstr>GMIC_22A_SCDPT5!SCDPT5_402BEGINNG_25</vt:lpstr>
      <vt:lpstr>GMIC_22A_SCDPT5!SCDPT5_402BEGINNG_26</vt:lpstr>
      <vt:lpstr>GMIC_22A_SCDPT5!SCDPT5_402BEGINNG_27</vt:lpstr>
      <vt:lpstr>GMIC_22A_SCDPT5!SCDPT5_402BEGINNG_3</vt:lpstr>
      <vt:lpstr>GMIC_22A_SCDPT5!SCDPT5_402BEGINNG_4</vt:lpstr>
      <vt:lpstr>GMIC_22A_SCDPT5!SCDPT5_402BEGINNG_5</vt:lpstr>
      <vt:lpstr>GMIC_22A_SCDPT5!SCDPT5_402BEGINNG_6</vt:lpstr>
      <vt:lpstr>GMIC_22A_SCDPT5!SCDPT5_402BEGINNG_7</vt:lpstr>
      <vt:lpstr>GMIC_22A_SCDPT5!SCDPT5_402BEGINNG_8</vt:lpstr>
      <vt:lpstr>GMIC_22A_SCDPT5!SCDPT5_402BEGINNG_9</vt:lpstr>
      <vt:lpstr>GMIC_22A_SCDPT5!SCDPT5_402ENDINGG_10</vt:lpstr>
      <vt:lpstr>GMIC_22A_SCDPT5!SCDPT5_402ENDINGG_11</vt:lpstr>
      <vt:lpstr>GMIC_22A_SCDPT5!SCDPT5_402ENDINGG_12</vt:lpstr>
      <vt:lpstr>GMIC_22A_SCDPT5!SCDPT5_402ENDINGG_13</vt:lpstr>
      <vt:lpstr>GMIC_22A_SCDPT5!SCDPT5_402ENDINGG_14</vt:lpstr>
      <vt:lpstr>GMIC_22A_SCDPT5!SCDPT5_402ENDINGG_15</vt:lpstr>
      <vt:lpstr>GMIC_22A_SCDPT5!SCDPT5_402ENDINGG_16</vt:lpstr>
      <vt:lpstr>GMIC_22A_SCDPT5!SCDPT5_402ENDINGG_17</vt:lpstr>
      <vt:lpstr>GMIC_22A_SCDPT5!SCDPT5_402ENDINGG_18</vt:lpstr>
      <vt:lpstr>GMIC_22A_SCDPT5!SCDPT5_402ENDINGG_19</vt:lpstr>
      <vt:lpstr>GMIC_22A_SCDPT5!SCDPT5_402ENDINGG_2</vt:lpstr>
      <vt:lpstr>GMIC_22A_SCDPT5!SCDPT5_402ENDINGG_20</vt:lpstr>
      <vt:lpstr>GMIC_22A_SCDPT5!SCDPT5_402ENDINGG_21</vt:lpstr>
      <vt:lpstr>GMIC_22A_SCDPT5!SCDPT5_402ENDINGG_22</vt:lpstr>
      <vt:lpstr>GMIC_22A_SCDPT5!SCDPT5_402ENDINGG_23</vt:lpstr>
      <vt:lpstr>GMIC_22A_SCDPT5!SCDPT5_402ENDINGG_24</vt:lpstr>
      <vt:lpstr>GMIC_22A_SCDPT5!SCDPT5_402ENDINGG_25</vt:lpstr>
      <vt:lpstr>GMIC_22A_SCDPT5!SCDPT5_402ENDINGG_26</vt:lpstr>
      <vt:lpstr>GMIC_22A_SCDPT5!SCDPT5_402ENDINGG_27</vt:lpstr>
      <vt:lpstr>GMIC_22A_SCDPT5!SCDPT5_402ENDINGG_3</vt:lpstr>
      <vt:lpstr>GMIC_22A_SCDPT5!SCDPT5_402ENDINGG_4</vt:lpstr>
      <vt:lpstr>GMIC_22A_SCDPT5!SCDPT5_402ENDINGG_5</vt:lpstr>
      <vt:lpstr>GMIC_22A_SCDPT5!SCDPT5_402ENDINGG_6</vt:lpstr>
      <vt:lpstr>GMIC_22A_SCDPT5!SCDPT5_402ENDINGG_7</vt:lpstr>
      <vt:lpstr>GMIC_22A_SCDPT5!SCDPT5_402ENDINGG_8</vt:lpstr>
      <vt:lpstr>GMIC_22A_SCDPT5!SCDPT5_402ENDINGG_9</vt:lpstr>
      <vt:lpstr>GMIC_22A_SCDPT5!SCDPT5_4310000000_Range</vt:lpstr>
      <vt:lpstr>GMIC_22A_SCDPT5!SCDPT5_4319999999_10</vt:lpstr>
      <vt:lpstr>GMIC_22A_SCDPT5!SCDPT5_4319999999_11</vt:lpstr>
      <vt:lpstr>GMIC_22A_SCDPT5!SCDPT5_4319999999_12</vt:lpstr>
      <vt:lpstr>GMIC_22A_SCDPT5!SCDPT5_4319999999_13</vt:lpstr>
      <vt:lpstr>GMIC_22A_SCDPT5!SCDPT5_4319999999_14</vt:lpstr>
      <vt:lpstr>GMIC_22A_SCDPT5!SCDPT5_4319999999_15</vt:lpstr>
      <vt:lpstr>GMIC_22A_SCDPT5!SCDPT5_4319999999_16</vt:lpstr>
      <vt:lpstr>GMIC_22A_SCDPT5!SCDPT5_4319999999_17</vt:lpstr>
      <vt:lpstr>GMIC_22A_SCDPT5!SCDPT5_4319999999_18</vt:lpstr>
      <vt:lpstr>GMIC_22A_SCDPT5!SCDPT5_4319999999_19</vt:lpstr>
      <vt:lpstr>GMIC_22A_SCDPT5!SCDPT5_4319999999_20</vt:lpstr>
      <vt:lpstr>GMIC_22A_SCDPT5!SCDPT5_4319999999_21</vt:lpstr>
      <vt:lpstr>GMIC_22A_SCDPT5!SCDPT5_4319999999_9</vt:lpstr>
      <vt:lpstr>GMIC_22A_SCDPT5!SCDPT5_431BEGINNG_1</vt:lpstr>
      <vt:lpstr>GMIC_22A_SCDPT5!SCDPT5_431BEGINNG_10</vt:lpstr>
      <vt:lpstr>GMIC_22A_SCDPT5!SCDPT5_431BEGINNG_11</vt:lpstr>
      <vt:lpstr>GMIC_22A_SCDPT5!SCDPT5_431BEGINNG_12</vt:lpstr>
      <vt:lpstr>GMIC_22A_SCDPT5!SCDPT5_431BEGINNG_13</vt:lpstr>
      <vt:lpstr>GMIC_22A_SCDPT5!SCDPT5_431BEGINNG_14</vt:lpstr>
      <vt:lpstr>GMIC_22A_SCDPT5!SCDPT5_431BEGINNG_15</vt:lpstr>
      <vt:lpstr>GMIC_22A_SCDPT5!SCDPT5_431BEGINNG_16</vt:lpstr>
      <vt:lpstr>GMIC_22A_SCDPT5!SCDPT5_431BEGINNG_17</vt:lpstr>
      <vt:lpstr>GMIC_22A_SCDPT5!SCDPT5_431BEGINNG_18</vt:lpstr>
      <vt:lpstr>GMIC_22A_SCDPT5!SCDPT5_431BEGINNG_19</vt:lpstr>
      <vt:lpstr>GMIC_22A_SCDPT5!SCDPT5_431BEGINNG_2</vt:lpstr>
      <vt:lpstr>GMIC_22A_SCDPT5!SCDPT5_431BEGINNG_20</vt:lpstr>
      <vt:lpstr>GMIC_22A_SCDPT5!SCDPT5_431BEGINNG_21</vt:lpstr>
      <vt:lpstr>GMIC_22A_SCDPT5!SCDPT5_431BEGINNG_22</vt:lpstr>
      <vt:lpstr>GMIC_22A_SCDPT5!SCDPT5_431BEGINNG_23</vt:lpstr>
      <vt:lpstr>GMIC_22A_SCDPT5!SCDPT5_431BEGINNG_24</vt:lpstr>
      <vt:lpstr>GMIC_22A_SCDPT5!SCDPT5_431BEGINNG_25</vt:lpstr>
      <vt:lpstr>GMIC_22A_SCDPT5!SCDPT5_431BEGINNG_26</vt:lpstr>
      <vt:lpstr>GMIC_22A_SCDPT5!SCDPT5_431BEGINNG_27</vt:lpstr>
      <vt:lpstr>GMIC_22A_SCDPT5!SCDPT5_431BEGINNG_3</vt:lpstr>
      <vt:lpstr>GMIC_22A_SCDPT5!SCDPT5_431BEGINNG_4</vt:lpstr>
      <vt:lpstr>GMIC_22A_SCDPT5!SCDPT5_431BEGINNG_5</vt:lpstr>
      <vt:lpstr>GMIC_22A_SCDPT5!SCDPT5_431BEGINNG_6</vt:lpstr>
      <vt:lpstr>GMIC_22A_SCDPT5!SCDPT5_431BEGINNG_7</vt:lpstr>
      <vt:lpstr>GMIC_22A_SCDPT5!SCDPT5_431BEGINNG_8</vt:lpstr>
      <vt:lpstr>GMIC_22A_SCDPT5!SCDPT5_431BEGINNG_9</vt:lpstr>
      <vt:lpstr>GMIC_22A_SCDPT5!SCDPT5_431ENDINGG_10</vt:lpstr>
      <vt:lpstr>GMIC_22A_SCDPT5!SCDPT5_431ENDINGG_11</vt:lpstr>
      <vt:lpstr>GMIC_22A_SCDPT5!SCDPT5_431ENDINGG_12</vt:lpstr>
      <vt:lpstr>GMIC_22A_SCDPT5!SCDPT5_431ENDINGG_13</vt:lpstr>
      <vt:lpstr>GMIC_22A_SCDPT5!SCDPT5_431ENDINGG_14</vt:lpstr>
      <vt:lpstr>GMIC_22A_SCDPT5!SCDPT5_431ENDINGG_15</vt:lpstr>
      <vt:lpstr>GMIC_22A_SCDPT5!SCDPT5_431ENDINGG_16</vt:lpstr>
      <vt:lpstr>GMIC_22A_SCDPT5!SCDPT5_431ENDINGG_17</vt:lpstr>
      <vt:lpstr>GMIC_22A_SCDPT5!SCDPT5_431ENDINGG_18</vt:lpstr>
      <vt:lpstr>GMIC_22A_SCDPT5!SCDPT5_431ENDINGG_19</vt:lpstr>
      <vt:lpstr>GMIC_22A_SCDPT5!SCDPT5_431ENDINGG_2</vt:lpstr>
      <vt:lpstr>GMIC_22A_SCDPT5!SCDPT5_431ENDINGG_20</vt:lpstr>
      <vt:lpstr>GMIC_22A_SCDPT5!SCDPT5_431ENDINGG_21</vt:lpstr>
      <vt:lpstr>GMIC_22A_SCDPT5!SCDPT5_431ENDINGG_22</vt:lpstr>
      <vt:lpstr>GMIC_22A_SCDPT5!SCDPT5_431ENDINGG_23</vt:lpstr>
      <vt:lpstr>GMIC_22A_SCDPT5!SCDPT5_431ENDINGG_24</vt:lpstr>
      <vt:lpstr>GMIC_22A_SCDPT5!SCDPT5_431ENDINGG_25</vt:lpstr>
      <vt:lpstr>GMIC_22A_SCDPT5!SCDPT5_431ENDINGG_26</vt:lpstr>
      <vt:lpstr>GMIC_22A_SCDPT5!SCDPT5_431ENDINGG_27</vt:lpstr>
      <vt:lpstr>GMIC_22A_SCDPT5!SCDPT5_431ENDINGG_3</vt:lpstr>
      <vt:lpstr>GMIC_22A_SCDPT5!SCDPT5_431ENDINGG_4</vt:lpstr>
      <vt:lpstr>GMIC_22A_SCDPT5!SCDPT5_431ENDINGG_5</vt:lpstr>
      <vt:lpstr>GMIC_22A_SCDPT5!SCDPT5_431ENDINGG_6</vt:lpstr>
      <vt:lpstr>GMIC_22A_SCDPT5!SCDPT5_431ENDINGG_7</vt:lpstr>
      <vt:lpstr>GMIC_22A_SCDPT5!SCDPT5_431ENDINGG_8</vt:lpstr>
      <vt:lpstr>GMIC_22A_SCDPT5!SCDPT5_431ENDINGG_9</vt:lpstr>
      <vt:lpstr>GMIC_22A_SCDPT5!SCDPT5_4320000000_Range</vt:lpstr>
      <vt:lpstr>GMIC_22A_SCDPT5!SCDPT5_4329999999_10</vt:lpstr>
      <vt:lpstr>GMIC_22A_SCDPT5!SCDPT5_4329999999_11</vt:lpstr>
      <vt:lpstr>GMIC_22A_SCDPT5!SCDPT5_4329999999_12</vt:lpstr>
      <vt:lpstr>GMIC_22A_SCDPT5!SCDPT5_4329999999_13</vt:lpstr>
      <vt:lpstr>GMIC_22A_SCDPT5!SCDPT5_4329999999_14</vt:lpstr>
      <vt:lpstr>GMIC_22A_SCDPT5!SCDPT5_4329999999_15</vt:lpstr>
      <vt:lpstr>GMIC_22A_SCDPT5!SCDPT5_4329999999_16</vt:lpstr>
      <vt:lpstr>GMIC_22A_SCDPT5!SCDPT5_4329999999_17</vt:lpstr>
      <vt:lpstr>GMIC_22A_SCDPT5!SCDPT5_4329999999_18</vt:lpstr>
      <vt:lpstr>GMIC_22A_SCDPT5!SCDPT5_4329999999_19</vt:lpstr>
      <vt:lpstr>GMIC_22A_SCDPT5!SCDPT5_4329999999_20</vt:lpstr>
      <vt:lpstr>GMIC_22A_SCDPT5!SCDPT5_4329999999_21</vt:lpstr>
      <vt:lpstr>GMIC_22A_SCDPT5!SCDPT5_4329999999_9</vt:lpstr>
      <vt:lpstr>GMIC_22A_SCDPT5!SCDPT5_432BEGINNG_1</vt:lpstr>
      <vt:lpstr>GMIC_22A_SCDPT5!SCDPT5_432BEGINNG_10</vt:lpstr>
      <vt:lpstr>GMIC_22A_SCDPT5!SCDPT5_432BEGINNG_11</vt:lpstr>
      <vt:lpstr>GMIC_22A_SCDPT5!SCDPT5_432BEGINNG_12</vt:lpstr>
      <vt:lpstr>GMIC_22A_SCDPT5!SCDPT5_432BEGINNG_13</vt:lpstr>
      <vt:lpstr>GMIC_22A_SCDPT5!SCDPT5_432BEGINNG_14</vt:lpstr>
      <vt:lpstr>GMIC_22A_SCDPT5!SCDPT5_432BEGINNG_15</vt:lpstr>
      <vt:lpstr>GMIC_22A_SCDPT5!SCDPT5_432BEGINNG_16</vt:lpstr>
      <vt:lpstr>GMIC_22A_SCDPT5!SCDPT5_432BEGINNG_17</vt:lpstr>
      <vt:lpstr>GMIC_22A_SCDPT5!SCDPT5_432BEGINNG_18</vt:lpstr>
      <vt:lpstr>GMIC_22A_SCDPT5!SCDPT5_432BEGINNG_19</vt:lpstr>
      <vt:lpstr>GMIC_22A_SCDPT5!SCDPT5_432BEGINNG_2</vt:lpstr>
      <vt:lpstr>GMIC_22A_SCDPT5!SCDPT5_432BEGINNG_20</vt:lpstr>
      <vt:lpstr>GMIC_22A_SCDPT5!SCDPT5_432BEGINNG_21</vt:lpstr>
      <vt:lpstr>GMIC_22A_SCDPT5!SCDPT5_432BEGINNG_22</vt:lpstr>
      <vt:lpstr>GMIC_22A_SCDPT5!SCDPT5_432BEGINNG_23</vt:lpstr>
      <vt:lpstr>GMIC_22A_SCDPT5!SCDPT5_432BEGINNG_24</vt:lpstr>
      <vt:lpstr>GMIC_22A_SCDPT5!SCDPT5_432BEGINNG_25</vt:lpstr>
      <vt:lpstr>GMIC_22A_SCDPT5!SCDPT5_432BEGINNG_26</vt:lpstr>
      <vt:lpstr>GMIC_22A_SCDPT5!SCDPT5_432BEGINNG_27</vt:lpstr>
      <vt:lpstr>GMIC_22A_SCDPT5!SCDPT5_432BEGINNG_3</vt:lpstr>
      <vt:lpstr>GMIC_22A_SCDPT5!SCDPT5_432BEGINNG_4</vt:lpstr>
      <vt:lpstr>GMIC_22A_SCDPT5!SCDPT5_432BEGINNG_5</vt:lpstr>
      <vt:lpstr>GMIC_22A_SCDPT5!SCDPT5_432BEGINNG_6</vt:lpstr>
      <vt:lpstr>GMIC_22A_SCDPT5!SCDPT5_432BEGINNG_7</vt:lpstr>
      <vt:lpstr>GMIC_22A_SCDPT5!SCDPT5_432BEGINNG_8</vt:lpstr>
      <vt:lpstr>GMIC_22A_SCDPT5!SCDPT5_432BEGINNG_9</vt:lpstr>
      <vt:lpstr>GMIC_22A_SCDPT5!SCDPT5_432ENDINGG_10</vt:lpstr>
      <vt:lpstr>GMIC_22A_SCDPT5!SCDPT5_432ENDINGG_11</vt:lpstr>
      <vt:lpstr>GMIC_22A_SCDPT5!SCDPT5_432ENDINGG_12</vt:lpstr>
      <vt:lpstr>GMIC_22A_SCDPT5!SCDPT5_432ENDINGG_13</vt:lpstr>
      <vt:lpstr>GMIC_22A_SCDPT5!SCDPT5_432ENDINGG_14</vt:lpstr>
      <vt:lpstr>GMIC_22A_SCDPT5!SCDPT5_432ENDINGG_15</vt:lpstr>
      <vt:lpstr>GMIC_22A_SCDPT5!SCDPT5_432ENDINGG_16</vt:lpstr>
      <vt:lpstr>GMIC_22A_SCDPT5!SCDPT5_432ENDINGG_17</vt:lpstr>
      <vt:lpstr>GMIC_22A_SCDPT5!SCDPT5_432ENDINGG_18</vt:lpstr>
      <vt:lpstr>GMIC_22A_SCDPT5!SCDPT5_432ENDINGG_19</vt:lpstr>
      <vt:lpstr>GMIC_22A_SCDPT5!SCDPT5_432ENDINGG_2</vt:lpstr>
      <vt:lpstr>GMIC_22A_SCDPT5!SCDPT5_432ENDINGG_20</vt:lpstr>
      <vt:lpstr>GMIC_22A_SCDPT5!SCDPT5_432ENDINGG_21</vt:lpstr>
      <vt:lpstr>GMIC_22A_SCDPT5!SCDPT5_432ENDINGG_22</vt:lpstr>
      <vt:lpstr>GMIC_22A_SCDPT5!SCDPT5_432ENDINGG_23</vt:lpstr>
      <vt:lpstr>GMIC_22A_SCDPT5!SCDPT5_432ENDINGG_24</vt:lpstr>
      <vt:lpstr>GMIC_22A_SCDPT5!SCDPT5_432ENDINGG_25</vt:lpstr>
      <vt:lpstr>GMIC_22A_SCDPT5!SCDPT5_432ENDINGG_26</vt:lpstr>
      <vt:lpstr>GMIC_22A_SCDPT5!SCDPT5_432ENDINGG_27</vt:lpstr>
      <vt:lpstr>GMIC_22A_SCDPT5!SCDPT5_432ENDINGG_3</vt:lpstr>
      <vt:lpstr>GMIC_22A_SCDPT5!SCDPT5_432ENDINGG_4</vt:lpstr>
      <vt:lpstr>GMIC_22A_SCDPT5!SCDPT5_432ENDINGG_5</vt:lpstr>
      <vt:lpstr>GMIC_22A_SCDPT5!SCDPT5_432ENDINGG_6</vt:lpstr>
      <vt:lpstr>GMIC_22A_SCDPT5!SCDPT5_432ENDINGG_7</vt:lpstr>
      <vt:lpstr>GMIC_22A_SCDPT5!SCDPT5_432ENDINGG_8</vt:lpstr>
      <vt:lpstr>GMIC_22A_SCDPT5!SCDPT5_432ENDINGG_9</vt:lpstr>
      <vt:lpstr>GMIC_22A_SCDPT5!SCDPT5_4509999998_10</vt:lpstr>
      <vt:lpstr>GMIC_22A_SCDPT5!SCDPT5_4509999998_11</vt:lpstr>
      <vt:lpstr>GMIC_22A_SCDPT5!SCDPT5_4509999998_12</vt:lpstr>
      <vt:lpstr>GMIC_22A_SCDPT5!SCDPT5_4509999998_13</vt:lpstr>
      <vt:lpstr>GMIC_22A_SCDPT5!SCDPT5_4509999998_14</vt:lpstr>
      <vt:lpstr>GMIC_22A_SCDPT5!SCDPT5_4509999998_15</vt:lpstr>
      <vt:lpstr>GMIC_22A_SCDPT5!SCDPT5_4509999998_16</vt:lpstr>
      <vt:lpstr>GMIC_22A_SCDPT5!SCDPT5_4509999998_17</vt:lpstr>
      <vt:lpstr>GMIC_22A_SCDPT5!SCDPT5_4509999998_18</vt:lpstr>
      <vt:lpstr>GMIC_22A_SCDPT5!SCDPT5_4509999998_19</vt:lpstr>
      <vt:lpstr>GMIC_22A_SCDPT5!SCDPT5_4509999998_20</vt:lpstr>
      <vt:lpstr>GMIC_22A_SCDPT5!SCDPT5_4509999998_21</vt:lpstr>
      <vt:lpstr>GMIC_22A_SCDPT5!SCDPT5_4509999998_9</vt:lpstr>
      <vt:lpstr>GMIC_22A_SCDPT5!SCDPT5_5010000000_Range</vt:lpstr>
      <vt:lpstr>GMIC_22A_SCDPT5!SCDPT5_5019999999_10</vt:lpstr>
      <vt:lpstr>GMIC_22A_SCDPT5!SCDPT5_5019999999_11</vt:lpstr>
      <vt:lpstr>GMIC_22A_SCDPT5!SCDPT5_5019999999_12</vt:lpstr>
      <vt:lpstr>GMIC_22A_SCDPT5!SCDPT5_5019999999_13</vt:lpstr>
      <vt:lpstr>GMIC_22A_SCDPT5!SCDPT5_5019999999_14</vt:lpstr>
      <vt:lpstr>GMIC_22A_SCDPT5!SCDPT5_5019999999_15</vt:lpstr>
      <vt:lpstr>GMIC_22A_SCDPT5!SCDPT5_5019999999_16</vt:lpstr>
      <vt:lpstr>GMIC_22A_SCDPT5!SCDPT5_5019999999_17</vt:lpstr>
      <vt:lpstr>GMIC_22A_SCDPT5!SCDPT5_5019999999_18</vt:lpstr>
      <vt:lpstr>GMIC_22A_SCDPT5!SCDPT5_5019999999_19</vt:lpstr>
      <vt:lpstr>GMIC_22A_SCDPT5!SCDPT5_5019999999_20</vt:lpstr>
      <vt:lpstr>GMIC_22A_SCDPT5!SCDPT5_5019999999_21</vt:lpstr>
      <vt:lpstr>GMIC_22A_SCDPT5!SCDPT5_5019999999_9</vt:lpstr>
      <vt:lpstr>GMIC_22A_SCDPT5!SCDPT5_501BEGINNG_1</vt:lpstr>
      <vt:lpstr>GMIC_22A_SCDPT5!SCDPT5_501BEGINNG_10</vt:lpstr>
      <vt:lpstr>GMIC_22A_SCDPT5!SCDPT5_501BEGINNG_11</vt:lpstr>
      <vt:lpstr>GMIC_22A_SCDPT5!SCDPT5_501BEGINNG_12</vt:lpstr>
      <vt:lpstr>GMIC_22A_SCDPT5!SCDPT5_501BEGINNG_13</vt:lpstr>
      <vt:lpstr>GMIC_22A_SCDPT5!SCDPT5_501BEGINNG_14</vt:lpstr>
      <vt:lpstr>GMIC_22A_SCDPT5!SCDPT5_501BEGINNG_15</vt:lpstr>
      <vt:lpstr>GMIC_22A_SCDPT5!SCDPT5_501BEGINNG_16</vt:lpstr>
      <vt:lpstr>GMIC_22A_SCDPT5!SCDPT5_501BEGINNG_17</vt:lpstr>
      <vt:lpstr>GMIC_22A_SCDPT5!SCDPT5_501BEGINNG_18</vt:lpstr>
      <vt:lpstr>GMIC_22A_SCDPT5!SCDPT5_501BEGINNG_19</vt:lpstr>
      <vt:lpstr>GMIC_22A_SCDPT5!SCDPT5_501BEGINNG_2</vt:lpstr>
      <vt:lpstr>GMIC_22A_SCDPT5!SCDPT5_501BEGINNG_20</vt:lpstr>
      <vt:lpstr>GMIC_22A_SCDPT5!SCDPT5_501BEGINNG_21</vt:lpstr>
      <vt:lpstr>GMIC_22A_SCDPT5!SCDPT5_501BEGINNG_22</vt:lpstr>
      <vt:lpstr>GMIC_22A_SCDPT5!SCDPT5_501BEGINNG_23</vt:lpstr>
      <vt:lpstr>GMIC_22A_SCDPT5!SCDPT5_501BEGINNG_24</vt:lpstr>
      <vt:lpstr>GMIC_22A_SCDPT5!SCDPT5_501BEGINNG_25</vt:lpstr>
      <vt:lpstr>GMIC_22A_SCDPT5!SCDPT5_501BEGINNG_26</vt:lpstr>
      <vt:lpstr>GMIC_22A_SCDPT5!SCDPT5_501BEGINNG_27</vt:lpstr>
      <vt:lpstr>GMIC_22A_SCDPT5!SCDPT5_501BEGINNG_3</vt:lpstr>
      <vt:lpstr>GMIC_22A_SCDPT5!SCDPT5_501BEGINNG_4</vt:lpstr>
      <vt:lpstr>GMIC_22A_SCDPT5!SCDPT5_501BEGINNG_5</vt:lpstr>
      <vt:lpstr>GMIC_22A_SCDPT5!SCDPT5_501BEGINNG_6</vt:lpstr>
      <vt:lpstr>GMIC_22A_SCDPT5!SCDPT5_501BEGINNG_7</vt:lpstr>
      <vt:lpstr>GMIC_22A_SCDPT5!SCDPT5_501BEGINNG_8</vt:lpstr>
      <vt:lpstr>GMIC_22A_SCDPT5!SCDPT5_501BEGINNG_9</vt:lpstr>
      <vt:lpstr>GMIC_22A_SCDPT5!SCDPT5_501ENDINGG_10</vt:lpstr>
      <vt:lpstr>GMIC_22A_SCDPT5!SCDPT5_501ENDINGG_11</vt:lpstr>
      <vt:lpstr>GMIC_22A_SCDPT5!SCDPT5_501ENDINGG_12</vt:lpstr>
      <vt:lpstr>GMIC_22A_SCDPT5!SCDPT5_501ENDINGG_13</vt:lpstr>
      <vt:lpstr>GMIC_22A_SCDPT5!SCDPT5_501ENDINGG_14</vt:lpstr>
      <vt:lpstr>GMIC_22A_SCDPT5!SCDPT5_501ENDINGG_15</vt:lpstr>
      <vt:lpstr>GMIC_22A_SCDPT5!SCDPT5_501ENDINGG_16</vt:lpstr>
      <vt:lpstr>GMIC_22A_SCDPT5!SCDPT5_501ENDINGG_17</vt:lpstr>
      <vt:lpstr>GMIC_22A_SCDPT5!SCDPT5_501ENDINGG_18</vt:lpstr>
      <vt:lpstr>GMIC_22A_SCDPT5!SCDPT5_501ENDINGG_19</vt:lpstr>
      <vt:lpstr>GMIC_22A_SCDPT5!SCDPT5_501ENDINGG_2</vt:lpstr>
      <vt:lpstr>GMIC_22A_SCDPT5!SCDPT5_501ENDINGG_20</vt:lpstr>
      <vt:lpstr>GMIC_22A_SCDPT5!SCDPT5_501ENDINGG_21</vt:lpstr>
      <vt:lpstr>GMIC_22A_SCDPT5!SCDPT5_501ENDINGG_22</vt:lpstr>
      <vt:lpstr>GMIC_22A_SCDPT5!SCDPT5_501ENDINGG_23</vt:lpstr>
      <vt:lpstr>GMIC_22A_SCDPT5!SCDPT5_501ENDINGG_24</vt:lpstr>
      <vt:lpstr>GMIC_22A_SCDPT5!SCDPT5_501ENDINGG_25</vt:lpstr>
      <vt:lpstr>GMIC_22A_SCDPT5!SCDPT5_501ENDINGG_26</vt:lpstr>
      <vt:lpstr>GMIC_22A_SCDPT5!SCDPT5_501ENDINGG_27</vt:lpstr>
      <vt:lpstr>GMIC_22A_SCDPT5!SCDPT5_501ENDINGG_3</vt:lpstr>
      <vt:lpstr>GMIC_22A_SCDPT5!SCDPT5_501ENDINGG_4</vt:lpstr>
      <vt:lpstr>GMIC_22A_SCDPT5!SCDPT5_501ENDINGG_5</vt:lpstr>
      <vt:lpstr>GMIC_22A_SCDPT5!SCDPT5_501ENDINGG_6</vt:lpstr>
      <vt:lpstr>GMIC_22A_SCDPT5!SCDPT5_501ENDINGG_7</vt:lpstr>
      <vt:lpstr>GMIC_22A_SCDPT5!SCDPT5_501ENDINGG_8</vt:lpstr>
      <vt:lpstr>GMIC_22A_SCDPT5!SCDPT5_501ENDINGG_9</vt:lpstr>
      <vt:lpstr>GMIC_22A_SCDPT5!SCDPT5_5020000000_Range</vt:lpstr>
      <vt:lpstr>GMIC_22A_SCDPT5!SCDPT5_5029999999_10</vt:lpstr>
      <vt:lpstr>GMIC_22A_SCDPT5!SCDPT5_5029999999_11</vt:lpstr>
      <vt:lpstr>GMIC_22A_SCDPT5!SCDPT5_5029999999_12</vt:lpstr>
      <vt:lpstr>GMIC_22A_SCDPT5!SCDPT5_5029999999_13</vt:lpstr>
      <vt:lpstr>GMIC_22A_SCDPT5!SCDPT5_5029999999_14</vt:lpstr>
      <vt:lpstr>GMIC_22A_SCDPT5!SCDPT5_5029999999_15</vt:lpstr>
      <vt:lpstr>GMIC_22A_SCDPT5!SCDPT5_5029999999_16</vt:lpstr>
      <vt:lpstr>GMIC_22A_SCDPT5!SCDPT5_5029999999_17</vt:lpstr>
      <vt:lpstr>GMIC_22A_SCDPT5!SCDPT5_5029999999_18</vt:lpstr>
      <vt:lpstr>GMIC_22A_SCDPT5!SCDPT5_5029999999_19</vt:lpstr>
      <vt:lpstr>GMIC_22A_SCDPT5!SCDPT5_5029999999_20</vt:lpstr>
      <vt:lpstr>GMIC_22A_SCDPT5!SCDPT5_5029999999_21</vt:lpstr>
      <vt:lpstr>GMIC_22A_SCDPT5!SCDPT5_5029999999_9</vt:lpstr>
      <vt:lpstr>GMIC_22A_SCDPT5!SCDPT5_502BEGINNG_1</vt:lpstr>
      <vt:lpstr>GMIC_22A_SCDPT5!SCDPT5_502BEGINNG_10</vt:lpstr>
      <vt:lpstr>GMIC_22A_SCDPT5!SCDPT5_502BEGINNG_11</vt:lpstr>
      <vt:lpstr>GMIC_22A_SCDPT5!SCDPT5_502BEGINNG_12</vt:lpstr>
      <vt:lpstr>GMIC_22A_SCDPT5!SCDPT5_502BEGINNG_13</vt:lpstr>
      <vt:lpstr>GMIC_22A_SCDPT5!SCDPT5_502BEGINNG_14</vt:lpstr>
      <vt:lpstr>GMIC_22A_SCDPT5!SCDPT5_502BEGINNG_15</vt:lpstr>
      <vt:lpstr>GMIC_22A_SCDPT5!SCDPT5_502BEGINNG_16</vt:lpstr>
      <vt:lpstr>GMIC_22A_SCDPT5!SCDPT5_502BEGINNG_17</vt:lpstr>
      <vt:lpstr>GMIC_22A_SCDPT5!SCDPT5_502BEGINNG_18</vt:lpstr>
      <vt:lpstr>GMIC_22A_SCDPT5!SCDPT5_502BEGINNG_19</vt:lpstr>
      <vt:lpstr>GMIC_22A_SCDPT5!SCDPT5_502BEGINNG_2</vt:lpstr>
      <vt:lpstr>GMIC_22A_SCDPT5!SCDPT5_502BEGINNG_20</vt:lpstr>
      <vt:lpstr>GMIC_22A_SCDPT5!SCDPT5_502BEGINNG_21</vt:lpstr>
      <vt:lpstr>GMIC_22A_SCDPT5!SCDPT5_502BEGINNG_22</vt:lpstr>
      <vt:lpstr>GMIC_22A_SCDPT5!SCDPT5_502BEGINNG_23</vt:lpstr>
      <vt:lpstr>GMIC_22A_SCDPT5!SCDPT5_502BEGINNG_24</vt:lpstr>
      <vt:lpstr>GMIC_22A_SCDPT5!SCDPT5_502BEGINNG_25</vt:lpstr>
      <vt:lpstr>GMIC_22A_SCDPT5!SCDPT5_502BEGINNG_26</vt:lpstr>
      <vt:lpstr>GMIC_22A_SCDPT5!SCDPT5_502BEGINNG_27</vt:lpstr>
      <vt:lpstr>GMIC_22A_SCDPT5!SCDPT5_502BEGINNG_3</vt:lpstr>
      <vt:lpstr>GMIC_22A_SCDPT5!SCDPT5_502BEGINNG_4</vt:lpstr>
      <vt:lpstr>GMIC_22A_SCDPT5!SCDPT5_502BEGINNG_5</vt:lpstr>
      <vt:lpstr>GMIC_22A_SCDPT5!SCDPT5_502BEGINNG_6</vt:lpstr>
      <vt:lpstr>GMIC_22A_SCDPT5!SCDPT5_502BEGINNG_7</vt:lpstr>
      <vt:lpstr>GMIC_22A_SCDPT5!SCDPT5_502BEGINNG_8</vt:lpstr>
      <vt:lpstr>GMIC_22A_SCDPT5!SCDPT5_502BEGINNG_9</vt:lpstr>
      <vt:lpstr>GMIC_22A_SCDPT5!SCDPT5_502ENDINGG_10</vt:lpstr>
      <vt:lpstr>GMIC_22A_SCDPT5!SCDPT5_502ENDINGG_11</vt:lpstr>
      <vt:lpstr>GMIC_22A_SCDPT5!SCDPT5_502ENDINGG_12</vt:lpstr>
      <vt:lpstr>GMIC_22A_SCDPT5!SCDPT5_502ENDINGG_13</vt:lpstr>
      <vt:lpstr>GMIC_22A_SCDPT5!SCDPT5_502ENDINGG_14</vt:lpstr>
      <vt:lpstr>GMIC_22A_SCDPT5!SCDPT5_502ENDINGG_15</vt:lpstr>
      <vt:lpstr>GMIC_22A_SCDPT5!SCDPT5_502ENDINGG_16</vt:lpstr>
      <vt:lpstr>GMIC_22A_SCDPT5!SCDPT5_502ENDINGG_17</vt:lpstr>
      <vt:lpstr>GMIC_22A_SCDPT5!SCDPT5_502ENDINGG_18</vt:lpstr>
      <vt:lpstr>GMIC_22A_SCDPT5!SCDPT5_502ENDINGG_19</vt:lpstr>
      <vt:lpstr>GMIC_22A_SCDPT5!SCDPT5_502ENDINGG_2</vt:lpstr>
      <vt:lpstr>GMIC_22A_SCDPT5!SCDPT5_502ENDINGG_20</vt:lpstr>
      <vt:lpstr>GMIC_22A_SCDPT5!SCDPT5_502ENDINGG_21</vt:lpstr>
      <vt:lpstr>GMIC_22A_SCDPT5!SCDPT5_502ENDINGG_22</vt:lpstr>
      <vt:lpstr>GMIC_22A_SCDPT5!SCDPT5_502ENDINGG_23</vt:lpstr>
      <vt:lpstr>GMIC_22A_SCDPT5!SCDPT5_502ENDINGG_24</vt:lpstr>
      <vt:lpstr>GMIC_22A_SCDPT5!SCDPT5_502ENDINGG_25</vt:lpstr>
      <vt:lpstr>GMIC_22A_SCDPT5!SCDPT5_502ENDINGG_26</vt:lpstr>
      <vt:lpstr>GMIC_22A_SCDPT5!SCDPT5_502ENDINGG_27</vt:lpstr>
      <vt:lpstr>GMIC_22A_SCDPT5!SCDPT5_502ENDINGG_3</vt:lpstr>
      <vt:lpstr>GMIC_22A_SCDPT5!SCDPT5_502ENDINGG_4</vt:lpstr>
      <vt:lpstr>GMIC_22A_SCDPT5!SCDPT5_502ENDINGG_5</vt:lpstr>
      <vt:lpstr>GMIC_22A_SCDPT5!SCDPT5_502ENDINGG_6</vt:lpstr>
      <vt:lpstr>GMIC_22A_SCDPT5!SCDPT5_502ENDINGG_7</vt:lpstr>
      <vt:lpstr>GMIC_22A_SCDPT5!SCDPT5_502ENDINGG_8</vt:lpstr>
      <vt:lpstr>GMIC_22A_SCDPT5!SCDPT5_502ENDINGG_9</vt:lpstr>
      <vt:lpstr>GMIC_22A_SCDPT5!SCDPT5_5310000000_Range</vt:lpstr>
      <vt:lpstr>GMIC_22A_SCDPT5!SCDPT5_5319999999_10</vt:lpstr>
      <vt:lpstr>GMIC_22A_SCDPT5!SCDPT5_5319999999_11</vt:lpstr>
      <vt:lpstr>GMIC_22A_SCDPT5!SCDPT5_5319999999_12</vt:lpstr>
      <vt:lpstr>GMIC_22A_SCDPT5!SCDPT5_5319999999_13</vt:lpstr>
      <vt:lpstr>GMIC_22A_SCDPT5!SCDPT5_5319999999_14</vt:lpstr>
      <vt:lpstr>GMIC_22A_SCDPT5!SCDPT5_5319999999_15</vt:lpstr>
      <vt:lpstr>GMIC_22A_SCDPT5!SCDPT5_5319999999_16</vt:lpstr>
      <vt:lpstr>GMIC_22A_SCDPT5!SCDPT5_5319999999_17</vt:lpstr>
      <vt:lpstr>GMIC_22A_SCDPT5!SCDPT5_5319999999_18</vt:lpstr>
      <vt:lpstr>GMIC_22A_SCDPT5!SCDPT5_5319999999_19</vt:lpstr>
      <vt:lpstr>GMIC_22A_SCDPT5!SCDPT5_5319999999_20</vt:lpstr>
      <vt:lpstr>GMIC_22A_SCDPT5!SCDPT5_5319999999_21</vt:lpstr>
      <vt:lpstr>GMIC_22A_SCDPT5!SCDPT5_5319999999_9</vt:lpstr>
      <vt:lpstr>GMIC_22A_SCDPT5!SCDPT5_531BEGINNG_1</vt:lpstr>
      <vt:lpstr>GMIC_22A_SCDPT5!SCDPT5_531BEGINNG_10</vt:lpstr>
      <vt:lpstr>GMIC_22A_SCDPT5!SCDPT5_531BEGINNG_11</vt:lpstr>
      <vt:lpstr>GMIC_22A_SCDPT5!SCDPT5_531BEGINNG_12</vt:lpstr>
      <vt:lpstr>GMIC_22A_SCDPT5!SCDPT5_531BEGINNG_13</vt:lpstr>
      <vt:lpstr>GMIC_22A_SCDPT5!SCDPT5_531BEGINNG_14</vt:lpstr>
      <vt:lpstr>GMIC_22A_SCDPT5!SCDPT5_531BEGINNG_15</vt:lpstr>
      <vt:lpstr>GMIC_22A_SCDPT5!SCDPT5_531BEGINNG_16</vt:lpstr>
      <vt:lpstr>GMIC_22A_SCDPT5!SCDPT5_531BEGINNG_17</vt:lpstr>
      <vt:lpstr>GMIC_22A_SCDPT5!SCDPT5_531BEGINNG_18</vt:lpstr>
      <vt:lpstr>GMIC_22A_SCDPT5!SCDPT5_531BEGINNG_19</vt:lpstr>
      <vt:lpstr>GMIC_22A_SCDPT5!SCDPT5_531BEGINNG_2</vt:lpstr>
      <vt:lpstr>GMIC_22A_SCDPT5!SCDPT5_531BEGINNG_20</vt:lpstr>
      <vt:lpstr>GMIC_22A_SCDPT5!SCDPT5_531BEGINNG_21</vt:lpstr>
      <vt:lpstr>GMIC_22A_SCDPT5!SCDPT5_531BEGINNG_22</vt:lpstr>
      <vt:lpstr>GMIC_22A_SCDPT5!SCDPT5_531BEGINNG_23</vt:lpstr>
      <vt:lpstr>GMIC_22A_SCDPT5!SCDPT5_531BEGINNG_24</vt:lpstr>
      <vt:lpstr>GMIC_22A_SCDPT5!SCDPT5_531BEGINNG_25</vt:lpstr>
      <vt:lpstr>GMIC_22A_SCDPT5!SCDPT5_531BEGINNG_26</vt:lpstr>
      <vt:lpstr>GMIC_22A_SCDPT5!SCDPT5_531BEGINNG_27</vt:lpstr>
      <vt:lpstr>GMIC_22A_SCDPT5!SCDPT5_531BEGINNG_3</vt:lpstr>
      <vt:lpstr>GMIC_22A_SCDPT5!SCDPT5_531BEGINNG_4</vt:lpstr>
      <vt:lpstr>GMIC_22A_SCDPT5!SCDPT5_531BEGINNG_5</vt:lpstr>
      <vt:lpstr>GMIC_22A_SCDPT5!SCDPT5_531BEGINNG_6</vt:lpstr>
      <vt:lpstr>GMIC_22A_SCDPT5!SCDPT5_531BEGINNG_7</vt:lpstr>
      <vt:lpstr>GMIC_22A_SCDPT5!SCDPT5_531BEGINNG_8</vt:lpstr>
      <vt:lpstr>GMIC_22A_SCDPT5!SCDPT5_531BEGINNG_9</vt:lpstr>
      <vt:lpstr>GMIC_22A_SCDPT5!SCDPT5_531ENDINGG_10</vt:lpstr>
      <vt:lpstr>GMIC_22A_SCDPT5!SCDPT5_531ENDINGG_11</vt:lpstr>
      <vt:lpstr>GMIC_22A_SCDPT5!SCDPT5_531ENDINGG_12</vt:lpstr>
      <vt:lpstr>GMIC_22A_SCDPT5!SCDPT5_531ENDINGG_13</vt:lpstr>
      <vt:lpstr>GMIC_22A_SCDPT5!SCDPT5_531ENDINGG_14</vt:lpstr>
      <vt:lpstr>GMIC_22A_SCDPT5!SCDPT5_531ENDINGG_15</vt:lpstr>
      <vt:lpstr>GMIC_22A_SCDPT5!SCDPT5_531ENDINGG_16</vt:lpstr>
      <vt:lpstr>GMIC_22A_SCDPT5!SCDPT5_531ENDINGG_17</vt:lpstr>
      <vt:lpstr>GMIC_22A_SCDPT5!SCDPT5_531ENDINGG_18</vt:lpstr>
      <vt:lpstr>GMIC_22A_SCDPT5!SCDPT5_531ENDINGG_19</vt:lpstr>
      <vt:lpstr>GMIC_22A_SCDPT5!SCDPT5_531ENDINGG_2</vt:lpstr>
      <vt:lpstr>GMIC_22A_SCDPT5!SCDPT5_531ENDINGG_20</vt:lpstr>
      <vt:lpstr>GMIC_22A_SCDPT5!SCDPT5_531ENDINGG_21</vt:lpstr>
      <vt:lpstr>GMIC_22A_SCDPT5!SCDPT5_531ENDINGG_22</vt:lpstr>
      <vt:lpstr>GMIC_22A_SCDPT5!SCDPT5_531ENDINGG_23</vt:lpstr>
      <vt:lpstr>GMIC_22A_SCDPT5!SCDPT5_531ENDINGG_24</vt:lpstr>
      <vt:lpstr>GMIC_22A_SCDPT5!SCDPT5_531ENDINGG_25</vt:lpstr>
      <vt:lpstr>GMIC_22A_SCDPT5!SCDPT5_531ENDINGG_26</vt:lpstr>
      <vt:lpstr>GMIC_22A_SCDPT5!SCDPT5_531ENDINGG_27</vt:lpstr>
      <vt:lpstr>GMIC_22A_SCDPT5!SCDPT5_531ENDINGG_3</vt:lpstr>
      <vt:lpstr>GMIC_22A_SCDPT5!SCDPT5_531ENDINGG_4</vt:lpstr>
      <vt:lpstr>GMIC_22A_SCDPT5!SCDPT5_531ENDINGG_5</vt:lpstr>
      <vt:lpstr>GMIC_22A_SCDPT5!SCDPT5_531ENDINGG_6</vt:lpstr>
      <vt:lpstr>GMIC_22A_SCDPT5!SCDPT5_531ENDINGG_7</vt:lpstr>
      <vt:lpstr>GMIC_22A_SCDPT5!SCDPT5_531ENDINGG_8</vt:lpstr>
      <vt:lpstr>GMIC_22A_SCDPT5!SCDPT5_531ENDINGG_9</vt:lpstr>
      <vt:lpstr>GMIC_22A_SCDPT5!SCDPT5_5320000000_Range</vt:lpstr>
      <vt:lpstr>GMIC_22A_SCDPT5!SCDPT5_5329999999_10</vt:lpstr>
      <vt:lpstr>GMIC_22A_SCDPT5!SCDPT5_5329999999_11</vt:lpstr>
      <vt:lpstr>GMIC_22A_SCDPT5!SCDPT5_5329999999_12</vt:lpstr>
      <vt:lpstr>GMIC_22A_SCDPT5!SCDPT5_5329999999_13</vt:lpstr>
      <vt:lpstr>GMIC_22A_SCDPT5!SCDPT5_5329999999_14</vt:lpstr>
      <vt:lpstr>GMIC_22A_SCDPT5!SCDPT5_5329999999_15</vt:lpstr>
      <vt:lpstr>GMIC_22A_SCDPT5!SCDPT5_5329999999_16</vt:lpstr>
      <vt:lpstr>GMIC_22A_SCDPT5!SCDPT5_5329999999_17</vt:lpstr>
      <vt:lpstr>GMIC_22A_SCDPT5!SCDPT5_5329999999_18</vt:lpstr>
      <vt:lpstr>GMIC_22A_SCDPT5!SCDPT5_5329999999_19</vt:lpstr>
      <vt:lpstr>GMIC_22A_SCDPT5!SCDPT5_5329999999_20</vt:lpstr>
      <vt:lpstr>GMIC_22A_SCDPT5!SCDPT5_5329999999_21</vt:lpstr>
      <vt:lpstr>GMIC_22A_SCDPT5!SCDPT5_5329999999_9</vt:lpstr>
      <vt:lpstr>GMIC_22A_SCDPT5!SCDPT5_532BEGINNG_1</vt:lpstr>
      <vt:lpstr>GMIC_22A_SCDPT5!SCDPT5_532BEGINNG_10</vt:lpstr>
      <vt:lpstr>GMIC_22A_SCDPT5!SCDPT5_532BEGINNG_11</vt:lpstr>
      <vt:lpstr>GMIC_22A_SCDPT5!SCDPT5_532BEGINNG_12</vt:lpstr>
      <vt:lpstr>GMIC_22A_SCDPT5!SCDPT5_532BEGINNG_13</vt:lpstr>
      <vt:lpstr>GMIC_22A_SCDPT5!SCDPT5_532BEGINNG_14</vt:lpstr>
      <vt:lpstr>GMIC_22A_SCDPT5!SCDPT5_532BEGINNG_15</vt:lpstr>
      <vt:lpstr>GMIC_22A_SCDPT5!SCDPT5_532BEGINNG_16</vt:lpstr>
      <vt:lpstr>GMIC_22A_SCDPT5!SCDPT5_532BEGINNG_17</vt:lpstr>
      <vt:lpstr>GMIC_22A_SCDPT5!SCDPT5_532BEGINNG_18</vt:lpstr>
      <vt:lpstr>GMIC_22A_SCDPT5!SCDPT5_532BEGINNG_19</vt:lpstr>
      <vt:lpstr>GMIC_22A_SCDPT5!SCDPT5_532BEGINNG_2</vt:lpstr>
      <vt:lpstr>GMIC_22A_SCDPT5!SCDPT5_532BEGINNG_20</vt:lpstr>
      <vt:lpstr>GMIC_22A_SCDPT5!SCDPT5_532BEGINNG_21</vt:lpstr>
      <vt:lpstr>GMIC_22A_SCDPT5!SCDPT5_532BEGINNG_22</vt:lpstr>
      <vt:lpstr>GMIC_22A_SCDPT5!SCDPT5_532BEGINNG_23</vt:lpstr>
      <vt:lpstr>GMIC_22A_SCDPT5!SCDPT5_532BEGINNG_24</vt:lpstr>
      <vt:lpstr>GMIC_22A_SCDPT5!SCDPT5_532BEGINNG_25</vt:lpstr>
      <vt:lpstr>GMIC_22A_SCDPT5!SCDPT5_532BEGINNG_26</vt:lpstr>
      <vt:lpstr>GMIC_22A_SCDPT5!SCDPT5_532BEGINNG_27</vt:lpstr>
      <vt:lpstr>GMIC_22A_SCDPT5!SCDPT5_532BEGINNG_3</vt:lpstr>
      <vt:lpstr>GMIC_22A_SCDPT5!SCDPT5_532BEGINNG_4</vt:lpstr>
      <vt:lpstr>GMIC_22A_SCDPT5!SCDPT5_532BEGINNG_5</vt:lpstr>
      <vt:lpstr>GMIC_22A_SCDPT5!SCDPT5_532BEGINNG_6</vt:lpstr>
      <vt:lpstr>GMIC_22A_SCDPT5!SCDPT5_532BEGINNG_7</vt:lpstr>
      <vt:lpstr>GMIC_22A_SCDPT5!SCDPT5_532BEGINNG_8</vt:lpstr>
      <vt:lpstr>GMIC_22A_SCDPT5!SCDPT5_532BEGINNG_9</vt:lpstr>
      <vt:lpstr>GMIC_22A_SCDPT5!SCDPT5_532ENDINGG_10</vt:lpstr>
      <vt:lpstr>GMIC_22A_SCDPT5!SCDPT5_532ENDINGG_11</vt:lpstr>
      <vt:lpstr>GMIC_22A_SCDPT5!SCDPT5_532ENDINGG_12</vt:lpstr>
      <vt:lpstr>GMIC_22A_SCDPT5!SCDPT5_532ENDINGG_13</vt:lpstr>
      <vt:lpstr>GMIC_22A_SCDPT5!SCDPT5_532ENDINGG_14</vt:lpstr>
      <vt:lpstr>GMIC_22A_SCDPT5!SCDPT5_532ENDINGG_15</vt:lpstr>
      <vt:lpstr>GMIC_22A_SCDPT5!SCDPT5_532ENDINGG_16</vt:lpstr>
      <vt:lpstr>GMIC_22A_SCDPT5!SCDPT5_532ENDINGG_17</vt:lpstr>
      <vt:lpstr>GMIC_22A_SCDPT5!SCDPT5_532ENDINGG_18</vt:lpstr>
      <vt:lpstr>GMIC_22A_SCDPT5!SCDPT5_532ENDINGG_19</vt:lpstr>
      <vt:lpstr>GMIC_22A_SCDPT5!SCDPT5_532ENDINGG_2</vt:lpstr>
      <vt:lpstr>GMIC_22A_SCDPT5!SCDPT5_532ENDINGG_20</vt:lpstr>
      <vt:lpstr>GMIC_22A_SCDPT5!SCDPT5_532ENDINGG_21</vt:lpstr>
      <vt:lpstr>GMIC_22A_SCDPT5!SCDPT5_532ENDINGG_22</vt:lpstr>
      <vt:lpstr>GMIC_22A_SCDPT5!SCDPT5_532ENDINGG_23</vt:lpstr>
      <vt:lpstr>GMIC_22A_SCDPT5!SCDPT5_532ENDINGG_24</vt:lpstr>
      <vt:lpstr>GMIC_22A_SCDPT5!SCDPT5_532ENDINGG_25</vt:lpstr>
      <vt:lpstr>GMIC_22A_SCDPT5!SCDPT5_532ENDINGG_26</vt:lpstr>
      <vt:lpstr>GMIC_22A_SCDPT5!SCDPT5_532ENDINGG_27</vt:lpstr>
      <vt:lpstr>GMIC_22A_SCDPT5!SCDPT5_532ENDINGG_3</vt:lpstr>
      <vt:lpstr>GMIC_22A_SCDPT5!SCDPT5_532ENDINGG_4</vt:lpstr>
      <vt:lpstr>GMIC_22A_SCDPT5!SCDPT5_532ENDINGG_5</vt:lpstr>
      <vt:lpstr>GMIC_22A_SCDPT5!SCDPT5_532ENDINGG_6</vt:lpstr>
      <vt:lpstr>GMIC_22A_SCDPT5!SCDPT5_532ENDINGG_7</vt:lpstr>
      <vt:lpstr>GMIC_22A_SCDPT5!SCDPT5_532ENDINGG_8</vt:lpstr>
      <vt:lpstr>GMIC_22A_SCDPT5!SCDPT5_532ENDINGG_9</vt:lpstr>
      <vt:lpstr>GMIC_22A_SCDPT5!SCDPT5_5510000000_Range</vt:lpstr>
      <vt:lpstr>GMIC_22A_SCDPT5!SCDPT5_5519999999_10</vt:lpstr>
      <vt:lpstr>GMIC_22A_SCDPT5!SCDPT5_5519999999_11</vt:lpstr>
      <vt:lpstr>GMIC_22A_SCDPT5!SCDPT5_5519999999_12</vt:lpstr>
      <vt:lpstr>GMIC_22A_SCDPT5!SCDPT5_5519999999_13</vt:lpstr>
      <vt:lpstr>GMIC_22A_SCDPT5!SCDPT5_5519999999_14</vt:lpstr>
      <vt:lpstr>GMIC_22A_SCDPT5!SCDPT5_5519999999_15</vt:lpstr>
      <vt:lpstr>GMIC_22A_SCDPT5!SCDPT5_5519999999_16</vt:lpstr>
      <vt:lpstr>GMIC_22A_SCDPT5!SCDPT5_5519999999_17</vt:lpstr>
      <vt:lpstr>GMIC_22A_SCDPT5!SCDPT5_5519999999_18</vt:lpstr>
      <vt:lpstr>GMIC_22A_SCDPT5!SCDPT5_5519999999_19</vt:lpstr>
      <vt:lpstr>GMIC_22A_SCDPT5!SCDPT5_5519999999_20</vt:lpstr>
      <vt:lpstr>GMIC_22A_SCDPT5!SCDPT5_5519999999_21</vt:lpstr>
      <vt:lpstr>GMIC_22A_SCDPT5!SCDPT5_5519999999_9</vt:lpstr>
      <vt:lpstr>GMIC_22A_SCDPT5!SCDPT5_551BEGINNG_1</vt:lpstr>
      <vt:lpstr>GMIC_22A_SCDPT5!SCDPT5_551BEGINNG_10</vt:lpstr>
      <vt:lpstr>GMIC_22A_SCDPT5!SCDPT5_551BEGINNG_11</vt:lpstr>
      <vt:lpstr>GMIC_22A_SCDPT5!SCDPT5_551BEGINNG_12</vt:lpstr>
      <vt:lpstr>GMIC_22A_SCDPT5!SCDPT5_551BEGINNG_13</vt:lpstr>
      <vt:lpstr>GMIC_22A_SCDPT5!SCDPT5_551BEGINNG_14</vt:lpstr>
      <vt:lpstr>GMIC_22A_SCDPT5!SCDPT5_551BEGINNG_15</vt:lpstr>
      <vt:lpstr>GMIC_22A_SCDPT5!SCDPT5_551BEGINNG_16</vt:lpstr>
      <vt:lpstr>GMIC_22A_SCDPT5!SCDPT5_551BEGINNG_17</vt:lpstr>
      <vt:lpstr>GMIC_22A_SCDPT5!SCDPT5_551BEGINNG_18</vt:lpstr>
      <vt:lpstr>GMIC_22A_SCDPT5!SCDPT5_551BEGINNG_19</vt:lpstr>
      <vt:lpstr>GMIC_22A_SCDPT5!SCDPT5_551BEGINNG_2</vt:lpstr>
      <vt:lpstr>GMIC_22A_SCDPT5!SCDPT5_551BEGINNG_20</vt:lpstr>
      <vt:lpstr>GMIC_22A_SCDPT5!SCDPT5_551BEGINNG_21</vt:lpstr>
      <vt:lpstr>GMIC_22A_SCDPT5!SCDPT5_551BEGINNG_22</vt:lpstr>
      <vt:lpstr>GMIC_22A_SCDPT5!SCDPT5_551BEGINNG_23</vt:lpstr>
      <vt:lpstr>GMIC_22A_SCDPT5!SCDPT5_551BEGINNG_24</vt:lpstr>
      <vt:lpstr>GMIC_22A_SCDPT5!SCDPT5_551BEGINNG_25</vt:lpstr>
      <vt:lpstr>GMIC_22A_SCDPT5!SCDPT5_551BEGINNG_26</vt:lpstr>
      <vt:lpstr>GMIC_22A_SCDPT5!SCDPT5_551BEGINNG_27</vt:lpstr>
      <vt:lpstr>GMIC_22A_SCDPT5!SCDPT5_551BEGINNG_3</vt:lpstr>
      <vt:lpstr>GMIC_22A_SCDPT5!SCDPT5_551BEGINNG_4</vt:lpstr>
      <vt:lpstr>GMIC_22A_SCDPT5!SCDPT5_551BEGINNG_5</vt:lpstr>
      <vt:lpstr>GMIC_22A_SCDPT5!SCDPT5_551BEGINNG_6</vt:lpstr>
      <vt:lpstr>GMIC_22A_SCDPT5!SCDPT5_551BEGINNG_7</vt:lpstr>
      <vt:lpstr>GMIC_22A_SCDPT5!SCDPT5_551BEGINNG_8</vt:lpstr>
      <vt:lpstr>GMIC_22A_SCDPT5!SCDPT5_551BEGINNG_9</vt:lpstr>
      <vt:lpstr>GMIC_22A_SCDPT5!SCDPT5_551ENDINGG_10</vt:lpstr>
      <vt:lpstr>GMIC_22A_SCDPT5!SCDPT5_551ENDINGG_11</vt:lpstr>
      <vt:lpstr>GMIC_22A_SCDPT5!SCDPT5_551ENDINGG_12</vt:lpstr>
      <vt:lpstr>GMIC_22A_SCDPT5!SCDPT5_551ENDINGG_13</vt:lpstr>
      <vt:lpstr>GMIC_22A_SCDPT5!SCDPT5_551ENDINGG_14</vt:lpstr>
      <vt:lpstr>GMIC_22A_SCDPT5!SCDPT5_551ENDINGG_15</vt:lpstr>
      <vt:lpstr>GMIC_22A_SCDPT5!SCDPT5_551ENDINGG_16</vt:lpstr>
      <vt:lpstr>GMIC_22A_SCDPT5!SCDPT5_551ENDINGG_17</vt:lpstr>
      <vt:lpstr>GMIC_22A_SCDPT5!SCDPT5_551ENDINGG_18</vt:lpstr>
      <vt:lpstr>GMIC_22A_SCDPT5!SCDPT5_551ENDINGG_19</vt:lpstr>
      <vt:lpstr>GMIC_22A_SCDPT5!SCDPT5_551ENDINGG_2</vt:lpstr>
      <vt:lpstr>GMIC_22A_SCDPT5!SCDPT5_551ENDINGG_20</vt:lpstr>
      <vt:lpstr>GMIC_22A_SCDPT5!SCDPT5_551ENDINGG_21</vt:lpstr>
      <vt:lpstr>GMIC_22A_SCDPT5!SCDPT5_551ENDINGG_22</vt:lpstr>
      <vt:lpstr>GMIC_22A_SCDPT5!SCDPT5_551ENDINGG_23</vt:lpstr>
      <vt:lpstr>GMIC_22A_SCDPT5!SCDPT5_551ENDINGG_24</vt:lpstr>
      <vt:lpstr>GMIC_22A_SCDPT5!SCDPT5_551ENDINGG_25</vt:lpstr>
      <vt:lpstr>GMIC_22A_SCDPT5!SCDPT5_551ENDINGG_26</vt:lpstr>
      <vt:lpstr>GMIC_22A_SCDPT5!SCDPT5_551ENDINGG_27</vt:lpstr>
      <vt:lpstr>GMIC_22A_SCDPT5!SCDPT5_551ENDINGG_3</vt:lpstr>
      <vt:lpstr>GMIC_22A_SCDPT5!SCDPT5_551ENDINGG_4</vt:lpstr>
      <vt:lpstr>GMIC_22A_SCDPT5!SCDPT5_551ENDINGG_5</vt:lpstr>
      <vt:lpstr>GMIC_22A_SCDPT5!SCDPT5_551ENDINGG_6</vt:lpstr>
      <vt:lpstr>GMIC_22A_SCDPT5!SCDPT5_551ENDINGG_7</vt:lpstr>
      <vt:lpstr>GMIC_22A_SCDPT5!SCDPT5_551ENDINGG_8</vt:lpstr>
      <vt:lpstr>GMIC_22A_SCDPT5!SCDPT5_551ENDINGG_9</vt:lpstr>
      <vt:lpstr>GMIC_22A_SCDPT5!SCDPT5_5520000000_Range</vt:lpstr>
      <vt:lpstr>GMIC_22A_SCDPT5!SCDPT5_5529999999_10</vt:lpstr>
      <vt:lpstr>GMIC_22A_SCDPT5!SCDPT5_5529999999_11</vt:lpstr>
      <vt:lpstr>GMIC_22A_SCDPT5!SCDPT5_5529999999_12</vt:lpstr>
      <vt:lpstr>GMIC_22A_SCDPT5!SCDPT5_5529999999_13</vt:lpstr>
      <vt:lpstr>GMIC_22A_SCDPT5!SCDPT5_5529999999_14</vt:lpstr>
      <vt:lpstr>GMIC_22A_SCDPT5!SCDPT5_5529999999_15</vt:lpstr>
      <vt:lpstr>GMIC_22A_SCDPT5!SCDPT5_5529999999_16</vt:lpstr>
      <vt:lpstr>GMIC_22A_SCDPT5!SCDPT5_5529999999_17</vt:lpstr>
      <vt:lpstr>GMIC_22A_SCDPT5!SCDPT5_5529999999_18</vt:lpstr>
      <vt:lpstr>GMIC_22A_SCDPT5!SCDPT5_5529999999_19</vt:lpstr>
      <vt:lpstr>GMIC_22A_SCDPT5!SCDPT5_5529999999_20</vt:lpstr>
      <vt:lpstr>GMIC_22A_SCDPT5!SCDPT5_5529999999_21</vt:lpstr>
      <vt:lpstr>GMIC_22A_SCDPT5!SCDPT5_5529999999_9</vt:lpstr>
      <vt:lpstr>GMIC_22A_SCDPT5!SCDPT5_552BEGINNG_1</vt:lpstr>
      <vt:lpstr>GMIC_22A_SCDPT5!SCDPT5_552BEGINNG_10</vt:lpstr>
      <vt:lpstr>GMIC_22A_SCDPT5!SCDPT5_552BEGINNG_11</vt:lpstr>
      <vt:lpstr>GMIC_22A_SCDPT5!SCDPT5_552BEGINNG_12</vt:lpstr>
      <vt:lpstr>GMIC_22A_SCDPT5!SCDPT5_552BEGINNG_13</vt:lpstr>
      <vt:lpstr>GMIC_22A_SCDPT5!SCDPT5_552BEGINNG_14</vt:lpstr>
      <vt:lpstr>GMIC_22A_SCDPT5!SCDPT5_552BEGINNG_15</vt:lpstr>
      <vt:lpstr>GMIC_22A_SCDPT5!SCDPT5_552BEGINNG_16</vt:lpstr>
      <vt:lpstr>GMIC_22A_SCDPT5!SCDPT5_552BEGINNG_17</vt:lpstr>
      <vt:lpstr>GMIC_22A_SCDPT5!SCDPT5_552BEGINNG_18</vt:lpstr>
      <vt:lpstr>GMIC_22A_SCDPT5!SCDPT5_552BEGINNG_19</vt:lpstr>
      <vt:lpstr>GMIC_22A_SCDPT5!SCDPT5_552BEGINNG_2</vt:lpstr>
      <vt:lpstr>GMIC_22A_SCDPT5!SCDPT5_552BEGINNG_20</vt:lpstr>
      <vt:lpstr>GMIC_22A_SCDPT5!SCDPT5_552BEGINNG_21</vt:lpstr>
      <vt:lpstr>GMIC_22A_SCDPT5!SCDPT5_552BEGINNG_22</vt:lpstr>
      <vt:lpstr>GMIC_22A_SCDPT5!SCDPT5_552BEGINNG_23</vt:lpstr>
      <vt:lpstr>GMIC_22A_SCDPT5!SCDPT5_552BEGINNG_24</vt:lpstr>
      <vt:lpstr>GMIC_22A_SCDPT5!SCDPT5_552BEGINNG_25</vt:lpstr>
      <vt:lpstr>GMIC_22A_SCDPT5!SCDPT5_552BEGINNG_26</vt:lpstr>
      <vt:lpstr>GMIC_22A_SCDPT5!SCDPT5_552BEGINNG_27</vt:lpstr>
      <vt:lpstr>GMIC_22A_SCDPT5!SCDPT5_552BEGINNG_3</vt:lpstr>
      <vt:lpstr>GMIC_22A_SCDPT5!SCDPT5_552BEGINNG_4</vt:lpstr>
      <vt:lpstr>GMIC_22A_SCDPT5!SCDPT5_552BEGINNG_5</vt:lpstr>
      <vt:lpstr>GMIC_22A_SCDPT5!SCDPT5_552BEGINNG_6</vt:lpstr>
      <vt:lpstr>GMIC_22A_SCDPT5!SCDPT5_552BEGINNG_7</vt:lpstr>
      <vt:lpstr>GMIC_22A_SCDPT5!SCDPT5_552BEGINNG_8</vt:lpstr>
      <vt:lpstr>GMIC_22A_SCDPT5!SCDPT5_552BEGINNG_9</vt:lpstr>
      <vt:lpstr>GMIC_22A_SCDPT5!SCDPT5_552ENDINGG_10</vt:lpstr>
      <vt:lpstr>GMIC_22A_SCDPT5!SCDPT5_552ENDINGG_11</vt:lpstr>
      <vt:lpstr>GMIC_22A_SCDPT5!SCDPT5_552ENDINGG_12</vt:lpstr>
      <vt:lpstr>GMIC_22A_SCDPT5!SCDPT5_552ENDINGG_13</vt:lpstr>
      <vt:lpstr>GMIC_22A_SCDPT5!SCDPT5_552ENDINGG_14</vt:lpstr>
      <vt:lpstr>GMIC_22A_SCDPT5!SCDPT5_552ENDINGG_15</vt:lpstr>
      <vt:lpstr>GMIC_22A_SCDPT5!SCDPT5_552ENDINGG_16</vt:lpstr>
      <vt:lpstr>GMIC_22A_SCDPT5!SCDPT5_552ENDINGG_17</vt:lpstr>
      <vt:lpstr>GMIC_22A_SCDPT5!SCDPT5_552ENDINGG_18</vt:lpstr>
      <vt:lpstr>GMIC_22A_SCDPT5!SCDPT5_552ENDINGG_19</vt:lpstr>
      <vt:lpstr>GMIC_22A_SCDPT5!SCDPT5_552ENDINGG_2</vt:lpstr>
      <vt:lpstr>GMIC_22A_SCDPT5!SCDPT5_552ENDINGG_20</vt:lpstr>
      <vt:lpstr>GMIC_22A_SCDPT5!SCDPT5_552ENDINGG_21</vt:lpstr>
      <vt:lpstr>GMIC_22A_SCDPT5!SCDPT5_552ENDINGG_22</vt:lpstr>
      <vt:lpstr>GMIC_22A_SCDPT5!SCDPT5_552ENDINGG_23</vt:lpstr>
      <vt:lpstr>GMIC_22A_SCDPT5!SCDPT5_552ENDINGG_24</vt:lpstr>
      <vt:lpstr>GMIC_22A_SCDPT5!SCDPT5_552ENDINGG_25</vt:lpstr>
      <vt:lpstr>GMIC_22A_SCDPT5!SCDPT5_552ENDINGG_26</vt:lpstr>
      <vt:lpstr>GMIC_22A_SCDPT5!SCDPT5_552ENDINGG_27</vt:lpstr>
      <vt:lpstr>GMIC_22A_SCDPT5!SCDPT5_552ENDINGG_3</vt:lpstr>
      <vt:lpstr>GMIC_22A_SCDPT5!SCDPT5_552ENDINGG_4</vt:lpstr>
      <vt:lpstr>GMIC_22A_SCDPT5!SCDPT5_552ENDINGG_5</vt:lpstr>
      <vt:lpstr>GMIC_22A_SCDPT5!SCDPT5_552ENDINGG_6</vt:lpstr>
      <vt:lpstr>GMIC_22A_SCDPT5!SCDPT5_552ENDINGG_7</vt:lpstr>
      <vt:lpstr>GMIC_22A_SCDPT5!SCDPT5_552ENDINGG_8</vt:lpstr>
      <vt:lpstr>GMIC_22A_SCDPT5!SCDPT5_552ENDINGG_9</vt:lpstr>
      <vt:lpstr>GMIC_22A_SCDPT5!SCDPT5_5710000000_Range</vt:lpstr>
      <vt:lpstr>GMIC_22A_SCDPT5!SCDPT5_5719999999_10</vt:lpstr>
      <vt:lpstr>GMIC_22A_SCDPT5!SCDPT5_5719999999_11</vt:lpstr>
      <vt:lpstr>GMIC_22A_SCDPT5!SCDPT5_5719999999_12</vt:lpstr>
      <vt:lpstr>GMIC_22A_SCDPT5!SCDPT5_5719999999_13</vt:lpstr>
      <vt:lpstr>GMIC_22A_SCDPT5!SCDPT5_5719999999_14</vt:lpstr>
      <vt:lpstr>GMIC_22A_SCDPT5!SCDPT5_5719999999_15</vt:lpstr>
      <vt:lpstr>GMIC_22A_SCDPT5!SCDPT5_5719999999_16</vt:lpstr>
      <vt:lpstr>GMIC_22A_SCDPT5!SCDPT5_5719999999_17</vt:lpstr>
      <vt:lpstr>GMIC_22A_SCDPT5!SCDPT5_5719999999_18</vt:lpstr>
      <vt:lpstr>GMIC_22A_SCDPT5!SCDPT5_5719999999_19</vt:lpstr>
      <vt:lpstr>GMIC_22A_SCDPT5!SCDPT5_5719999999_20</vt:lpstr>
      <vt:lpstr>GMIC_22A_SCDPT5!SCDPT5_5719999999_21</vt:lpstr>
      <vt:lpstr>GMIC_22A_SCDPT5!SCDPT5_5719999999_9</vt:lpstr>
      <vt:lpstr>GMIC_22A_SCDPT5!SCDPT5_571BEGINNG_1</vt:lpstr>
      <vt:lpstr>GMIC_22A_SCDPT5!SCDPT5_571BEGINNG_10</vt:lpstr>
      <vt:lpstr>GMIC_22A_SCDPT5!SCDPT5_571BEGINNG_11</vt:lpstr>
      <vt:lpstr>GMIC_22A_SCDPT5!SCDPT5_571BEGINNG_12</vt:lpstr>
      <vt:lpstr>GMIC_22A_SCDPT5!SCDPT5_571BEGINNG_13</vt:lpstr>
      <vt:lpstr>GMIC_22A_SCDPT5!SCDPT5_571BEGINNG_14</vt:lpstr>
      <vt:lpstr>GMIC_22A_SCDPT5!SCDPT5_571BEGINNG_15</vt:lpstr>
      <vt:lpstr>GMIC_22A_SCDPT5!SCDPT5_571BEGINNG_16</vt:lpstr>
      <vt:lpstr>GMIC_22A_SCDPT5!SCDPT5_571BEGINNG_17</vt:lpstr>
      <vt:lpstr>GMIC_22A_SCDPT5!SCDPT5_571BEGINNG_18</vt:lpstr>
      <vt:lpstr>GMIC_22A_SCDPT5!SCDPT5_571BEGINNG_19</vt:lpstr>
      <vt:lpstr>GMIC_22A_SCDPT5!SCDPT5_571BEGINNG_2</vt:lpstr>
      <vt:lpstr>GMIC_22A_SCDPT5!SCDPT5_571BEGINNG_20</vt:lpstr>
      <vt:lpstr>GMIC_22A_SCDPT5!SCDPT5_571BEGINNG_21</vt:lpstr>
      <vt:lpstr>GMIC_22A_SCDPT5!SCDPT5_571BEGINNG_22</vt:lpstr>
      <vt:lpstr>GMIC_22A_SCDPT5!SCDPT5_571BEGINNG_23</vt:lpstr>
      <vt:lpstr>GMIC_22A_SCDPT5!SCDPT5_571BEGINNG_24</vt:lpstr>
      <vt:lpstr>GMIC_22A_SCDPT5!SCDPT5_571BEGINNG_25</vt:lpstr>
      <vt:lpstr>GMIC_22A_SCDPT5!SCDPT5_571BEGINNG_26</vt:lpstr>
      <vt:lpstr>GMIC_22A_SCDPT5!SCDPT5_571BEGINNG_27</vt:lpstr>
      <vt:lpstr>GMIC_22A_SCDPT5!SCDPT5_571BEGINNG_3</vt:lpstr>
      <vt:lpstr>GMIC_22A_SCDPT5!SCDPT5_571BEGINNG_4</vt:lpstr>
      <vt:lpstr>GMIC_22A_SCDPT5!SCDPT5_571BEGINNG_5</vt:lpstr>
      <vt:lpstr>GMIC_22A_SCDPT5!SCDPT5_571BEGINNG_6</vt:lpstr>
      <vt:lpstr>GMIC_22A_SCDPT5!SCDPT5_571BEGINNG_7</vt:lpstr>
      <vt:lpstr>GMIC_22A_SCDPT5!SCDPT5_571BEGINNG_8</vt:lpstr>
      <vt:lpstr>GMIC_22A_SCDPT5!SCDPT5_571BEGINNG_9</vt:lpstr>
      <vt:lpstr>GMIC_22A_SCDPT5!SCDPT5_571ENDINGG_10</vt:lpstr>
      <vt:lpstr>GMIC_22A_SCDPT5!SCDPT5_571ENDINGG_11</vt:lpstr>
      <vt:lpstr>GMIC_22A_SCDPT5!SCDPT5_571ENDINGG_12</vt:lpstr>
      <vt:lpstr>GMIC_22A_SCDPT5!SCDPT5_571ENDINGG_13</vt:lpstr>
      <vt:lpstr>GMIC_22A_SCDPT5!SCDPT5_571ENDINGG_14</vt:lpstr>
      <vt:lpstr>GMIC_22A_SCDPT5!SCDPT5_571ENDINGG_15</vt:lpstr>
      <vt:lpstr>GMIC_22A_SCDPT5!SCDPT5_571ENDINGG_16</vt:lpstr>
      <vt:lpstr>GMIC_22A_SCDPT5!SCDPT5_571ENDINGG_17</vt:lpstr>
      <vt:lpstr>GMIC_22A_SCDPT5!SCDPT5_571ENDINGG_18</vt:lpstr>
      <vt:lpstr>GMIC_22A_SCDPT5!SCDPT5_571ENDINGG_19</vt:lpstr>
      <vt:lpstr>GMIC_22A_SCDPT5!SCDPT5_571ENDINGG_2</vt:lpstr>
      <vt:lpstr>GMIC_22A_SCDPT5!SCDPT5_571ENDINGG_20</vt:lpstr>
      <vt:lpstr>GMIC_22A_SCDPT5!SCDPT5_571ENDINGG_21</vt:lpstr>
      <vt:lpstr>GMIC_22A_SCDPT5!SCDPT5_571ENDINGG_22</vt:lpstr>
      <vt:lpstr>GMIC_22A_SCDPT5!SCDPT5_571ENDINGG_23</vt:lpstr>
      <vt:lpstr>GMIC_22A_SCDPT5!SCDPT5_571ENDINGG_24</vt:lpstr>
      <vt:lpstr>GMIC_22A_SCDPT5!SCDPT5_571ENDINGG_25</vt:lpstr>
      <vt:lpstr>GMIC_22A_SCDPT5!SCDPT5_571ENDINGG_26</vt:lpstr>
      <vt:lpstr>GMIC_22A_SCDPT5!SCDPT5_571ENDINGG_27</vt:lpstr>
      <vt:lpstr>GMIC_22A_SCDPT5!SCDPT5_571ENDINGG_3</vt:lpstr>
      <vt:lpstr>GMIC_22A_SCDPT5!SCDPT5_571ENDINGG_4</vt:lpstr>
      <vt:lpstr>GMIC_22A_SCDPT5!SCDPT5_571ENDINGG_5</vt:lpstr>
      <vt:lpstr>GMIC_22A_SCDPT5!SCDPT5_571ENDINGG_6</vt:lpstr>
      <vt:lpstr>GMIC_22A_SCDPT5!SCDPT5_571ENDINGG_7</vt:lpstr>
      <vt:lpstr>GMIC_22A_SCDPT5!SCDPT5_571ENDINGG_8</vt:lpstr>
      <vt:lpstr>GMIC_22A_SCDPT5!SCDPT5_571ENDINGG_9</vt:lpstr>
      <vt:lpstr>GMIC_22A_SCDPT5!SCDPT5_5720000000_Range</vt:lpstr>
      <vt:lpstr>GMIC_22A_SCDPT5!SCDPT5_5729999999_10</vt:lpstr>
      <vt:lpstr>GMIC_22A_SCDPT5!SCDPT5_5729999999_11</vt:lpstr>
      <vt:lpstr>GMIC_22A_SCDPT5!SCDPT5_5729999999_12</vt:lpstr>
      <vt:lpstr>GMIC_22A_SCDPT5!SCDPT5_5729999999_13</vt:lpstr>
      <vt:lpstr>GMIC_22A_SCDPT5!SCDPT5_5729999999_14</vt:lpstr>
      <vt:lpstr>GMIC_22A_SCDPT5!SCDPT5_5729999999_15</vt:lpstr>
      <vt:lpstr>GMIC_22A_SCDPT5!SCDPT5_5729999999_16</vt:lpstr>
      <vt:lpstr>GMIC_22A_SCDPT5!SCDPT5_5729999999_17</vt:lpstr>
      <vt:lpstr>GMIC_22A_SCDPT5!SCDPT5_5729999999_18</vt:lpstr>
      <vt:lpstr>GMIC_22A_SCDPT5!SCDPT5_5729999999_19</vt:lpstr>
      <vt:lpstr>GMIC_22A_SCDPT5!SCDPT5_5729999999_20</vt:lpstr>
      <vt:lpstr>GMIC_22A_SCDPT5!SCDPT5_5729999999_21</vt:lpstr>
      <vt:lpstr>GMIC_22A_SCDPT5!SCDPT5_5729999999_9</vt:lpstr>
      <vt:lpstr>GMIC_22A_SCDPT5!SCDPT5_572BEGINNG_1</vt:lpstr>
      <vt:lpstr>GMIC_22A_SCDPT5!SCDPT5_572BEGINNG_10</vt:lpstr>
      <vt:lpstr>GMIC_22A_SCDPT5!SCDPT5_572BEGINNG_11</vt:lpstr>
      <vt:lpstr>GMIC_22A_SCDPT5!SCDPT5_572BEGINNG_12</vt:lpstr>
      <vt:lpstr>GMIC_22A_SCDPT5!SCDPT5_572BEGINNG_13</vt:lpstr>
      <vt:lpstr>GMIC_22A_SCDPT5!SCDPT5_572BEGINNG_14</vt:lpstr>
      <vt:lpstr>GMIC_22A_SCDPT5!SCDPT5_572BEGINNG_15</vt:lpstr>
      <vt:lpstr>GMIC_22A_SCDPT5!SCDPT5_572BEGINNG_16</vt:lpstr>
      <vt:lpstr>GMIC_22A_SCDPT5!SCDPT5_572BEGINNG_17</vt:lpstr>
      <vt:lpstr>GMIC_22A_SCDPT5!SCDPT5_572BEGINNG_18</vt:lpstr>
      <vt:lpstr>GMIC_22A_SCDPT5!SCDPT5_572BEGINNG_19</vt:lpstr>
      <vt:lpstr>GMIC_22A_SCDPT5!SCDPT5_572BEGINNG_2</vt:lpstr>
      <vt:lpstr>GMIC_22A_SCDPT5!SCDPT5_572BEGINNG_20</vt:lpstr>
      <vt:lpstr>GMIC_22A_SCDPT5!SCDPT5_572BEGINNG_21</vt:lpstr>
      <vt:lpstr>GMIC_22A_SCDPT5!SCDPT5_572BEGINNG_22</vt:lpstr>
      <vt:lpstr>GMIC_22A_SCDPT5!SCDPT5_572BEGINNG_23</vt:lpstr>
      <vt:lpstr>GMIC_22A_SCDPT5!SCDPT5_572BEGINNG_24</vt:lpstr>
      <vt:lpstr>GMIC_22A_SCDPT5!SCDPT5_572BEGINNG_25</vt:lpstr>
      <vt:lpstr>GMIC_22A_SCDPT5!SCDPT5_572BEGINNG_26</vt:lpstr>
      <vt:lpstr>GMIC_22A_SCDPT5!SCDPT5_572BEGINNG_27</vt:lpstr>
      <vt:lpstr>GMIC_22A_SCDPT5!SCDPT5_572BEGINNG_3</vt:lpstr>
      <vt:lpstr>GMIC_22A_SCDPT5!SCDPT5_572BEGINNG_4</vt:lpstr>
      <vt:lpstr>GMIC_22A_SCDPT5!SCDPT5_572BEGINNG_5</vt:lpstr>
      <vt:lpstr>GMIC_22A_SCDPT5!SCDPT5_572BEGINNG_6</vt:lpstr>
      <vt:lpstr>GMIC_22A_SCDPT5!SCDPT5_572BEGINNG_7</vt:lpstr>
      <vt:lpstr>GMIC_22A_SCDPT5!SCDPT5_572BEGINNG_8</vt:lpstr>
      <vt:lpstr>GMIC_22A_SCDPT5!SCDPT5_572BEGINNG_9</vt:lpstr>
      <vt:lpstr>GMIC_22A_SCDPT5!SCDPT5_572ENDINGG_10</vt:lpstr>
      <vt:lpstr>GMIC_22A_SCDPT5!SCDPT5_572ENDINGG_11</vt:lpstr>
      <vt:lpstr>GMIC_22A_SCDPT5!SCDPT5_572ENDINGG_12</vt:lpstr>
      <vt:lpstr>GMIC_22A_SCDPT5!SCDPT5_572ENDINGG_13</vt:lpstr>
      <vt:lpstr>GMIC_22A_SCDPT5!SCDPT5_572ENDINGG_14</vt:lpstr>
      <vt:lpstr>GMIC_22A_SCDPT5!SCDPT5_572ENDINGG_15</vt:lpstr>
      <vt:lpstr>GMIC_22A_SCDPT5!SCDPT5_572ENDINGG_16</vt:lpstr>
      <vt:lpstr>GMIC_22A_SCDPT5!SCDPT5_572ENDINGG_17</vt:lpstr>
      <vt:lpstr>GMIC_22A_SCDPT5!SCDPT5_572ENDINGG_18</vt:lpstr>
      <vt:lpstr>GMIC_22A_SCDPT5!SCDPT5_572ENDINGG_19</vt:lpstr>
      <vt:lpstr>GMIC_22A_SCDPT5!SCDPT5_572ENDINGG_2</vt:lpstr>
      <vt:lpstr>GMIC_22A_SCDPT5!SCDPT5_572ENDINGG_20</vt:lpstr>
      <vt:lpstr>GMIC_22A_SCDPT5!SCDPT5_572ENDINGG_21</vt:lpstr>
      <vt:lpstr>GMIC_22A_SCDPT5!SCDPT5_572ENDINGG_22</vt:lpstr>
      <vt:lpstr>GMIC_22A_SCDPT5!SCDPT5_572ENDINGG_23</vt:lpstr>
      <vt:lpstr>GMIC_22A_SCDPT5!SCDPT5_572ENDINGG_24</vt:lpstr>
      <vt:lpstr>GMIC_22A_SCDPT5!SCDPT5_572ENDINGG_25</vt:lpstr>
      <vt:lpstr>GMIC_22A_SCDPT5!SCDPT5_572ENDINGG_26</vt:lpstr>
      <vt:lpstr>GMIC_22A_SCDPT5!SCDPT5_572ENDINGG_27</vt:lpstr>
      <vt:lpstr>GMIC_22A_SCDPT5!SCDPT5_572ENDINGG_3</vt:lpstr>
      <vt:lpstr>GMIC_22A_SCDPT5!SCDPT5_572ENDINGG_4</vt:lpstr>
      <vt:lpstr>GMIC_22A_SCDPT5!SCDPT5_572ENDINGG_5</vt:lpstr>
      <vt:lpstr>GMIC_22A_SCDPT5!SCDPT5_572ENDINGG_6</vt:lpstr>
      <vt:lpstr>GMIC_22A_SCDPT5!SCDPT5_572ENDINGG_7</vt:lpstr>
      <vt:lpstr>GMIC_22A_SCDPT5!SCDPT5_572ENDINGG_8</vt:lpstr>
      <vt:lpstr>GMIC_22A_SCDPT5!SCDPT5_572ENDINGG_9</vt:lpstr>
      <vt:lpstr>GMIC_22A_SCDPT5!SCDPT5_5810000000_Range</vt:lpstr>
      <vt:lpstr>GMIC_22A_SCDPT5!SCDPT5_5819999999_10</vt:lpstr>
      <vt:lpstr>GMIC_22A_SCDPT5!SCDPT5_5819999999_11</vt:lpstr>
      <vt:lpstr>GMIC_22A_SCDPT5!SCDPT5_5819999999_12</vt:lpstr>
      <vt:lpstr>GMIC_22A_SCDPT5!SCDPT5_5819999999_13</vt:lpstr>
      <vt:lpstr>GMIC_22A_SCDPT5!SCDPT5_5819999999_14</vt:lpstr>
      <vt:lpstr>GMIC_22A_SCDPT5!SCDPT5_5819999999_15</vt:lpstr>
      <vt:lpstr>GMIC_22A_SCDPT5!SCDPT5_5819999999_16</vt:lpstr>
      <vt:lpstr>GMIC_22A_SCDPT5!SCDPT5_5819999999_17</vt:lpstr>
      <vt:lpstr>GMIC_22A_SCDPT5!SCDPT5_5819999999_18</vt:lpstr>
      <vt:lpstr>GMIC_22A_SCDPT5!SCDPT5_5819999999_19</vt:lpstr>
      <vt:lpstr>GMIC_22A_SCDPT5!SCDPT5_5819999999_20</vt:lpstr>
      <vt:lpstr>GMIC_22A_SCDPT5!SCDPT5_5819999999_21</vt:lpstr>
      <vt:lpstr>GMIC_22A_SCDPT5!SCDPT5_5819999999_9</vt:lpstr>
      <vt:lpstr>GMIC_22A_SCDPT5!SCDPT5_581BEGINNG_1</vt:lpstr>
      <vt:lpstr>GMIC_22A_SCDPT5!SCDPT5_581BEGINNG_10</vt:lpstr>
      <vt:lpstr>GMIC_22A_SCDPT5!SCDPT5_581BEGINNG_11</vt:lpstr>
      <vt:lpstr>GMIC_22A_SCDPT5!SCDPT5_581BEGINNG_12</vt:lpstr>
      <vt:lpstr>GMIC_22A_SCDPT5!SCDPT5_581BEGINNG_13</vt:lpstr>
      <vt:lpstr>GMIC_22A_SCDPT5!SCDPT5_581BEGINNG_14</vt:lpstr>
      <vt:lpstr>GMIC_22A_SCDPT5!SCDPT5_581BEGINNG_15</vt:lpstr>
      <vt:lpstr>GMIC_22A_SCDPT5!SCDPT5_581BEGINNG_16</vt:lpstr>
      <vt:lpstr>GMIC_22A_SCDPT5!SCDPT5_581BEGINNG_17</vt:lpstr>
      <vt:lpstr>GMIC_22A_SCDPT5!SCDPT5_581BEGINNG_18</vt:lpstr>
      <vt:lpstr>GMIC_22A_SCDPT5!SCDPT5_581BEGINNG_19</vt:lpstr>
      <vt:lpstr>GMIC_22A_SCDPT5!SCDPT5_581BEGINNG_2</vt:lpstr>
      <vt:lpstr>GMIC_22A_SCDPT5!SCDPT5_581BEGINNG_20</vt:lpstr>
      <vt:lpstr>GMIC_22A_SCDPT5!SCDPT5_581BEGINNG_21</vt:lpstr>
      <vt:lpstr>GMIC_22A_SCDPT5!SCDPT5_581BEGINNG_22</vt:lpstr>
      <vt:lpstr>GMIC_22A_SCDPT5!SCDPT5_581BEGINNG_23</vt:lpstr>
      <vt:lpstr>GMIC_22A_SCDPT5!SCDPT5_581BEGINNG_24</vt:lpstr>
      <vt:lpstr>GMIC_22A_SCDPT5!SCDPT5_581BEGINNG_25</vt:lpstr>
      <vt:lpstr>GMIC_22A_SCDPT5!SCDPT5_581BEGINNG_26</vt:lpstr>
      <vt:lpstr>GMIC_22A_SCDPT5!SCDPT5_581BEGINNG_27</vt:lpstr>
      <vt:lpstr>GMIC_22A_SCDPT5!SCDPT5_581BEGINNG_3</vt:lpstr>
      <vt:lpstr>GMIC_22A_SCDPT5!SCDPT5_581BEGINNG_4</vt:lpstr>
      <vt:lpstr>GMIC_22A_SCDPT5!SCDPT5_581BEGINNG_5</vt:lpstr>
      <vt:lpstr>GMIC_22A_SCDPT5!SCDPT5_581BEGINNG_6</vt:lpstr>
      <vt:lpstr>GMIC_22A_SCDPT5!SCDPT5_581BEGINNG_7</vt:lpstr>
      <vt:lpstr>GMIC_22A_SCDPT5!SCDPT5_581BEGINNG_8</vt:lpstr>
      <vt:lpstr>GMIC_22A_SCDPT5!SCDPT5_581BEGINNG_9</vt:lpstr>
      <vt:lpstr>GMIC_22A_SCDPT5!SCDPT5_581ENDINGG_10</vt:lpstr>
      <vt:lpstr>GMIC_22A_SCDPT5!SCDPT5_581ENDINGG_11</vt:lpstr>
      <vt:lpstr>GMIC_22A_SCDPT5!SCDPT5_581ENDINGG_12</vt:lpstr>
      <vt:lpstr>GMIC_22A_SCDPT5!SCDPT5_581ENDINGG_13</vt:lpstr>
      <vt:lpstr>GMIC_22A_SCDPT5!SCDPT5_581ENDINGG_14</vt:lpstr>
      <vt:lpstr>GMIC_22A_SCDPT5!SCDPT5_581ENDINGG_15</vt:lpstr>
      <vt:lpstr>GMIC_22A_SCDPT5!SCDPT5_581ENDINGG_16</vt:lpstr>
      <vt:lpstr>GMIC_22A_SCDPT5!SCDPT5_581ENDINGG_17</vt:lpstr>
      <vt:lpstr>GMIC_22A_SCDPT5!SCDPT5_581ENDINGG_18</vt:lpstr>
      <vt:lpstr>GMIC_22A_SCDPT5!SCDPT5_581ENDINGG_19</vt:lpstr>
      <vt:lpstr>GMIC_22A_SCDPT5!SCDPT5_581ENDINGG_2</vt:lpstr>
      <vt:lpstr>GMIC_22A_SCDPT5!SCDPT5_581ENDINGG_20</vt:lpstr>
      <vt:lpstr>GMIC_22A_SCDPT5!SCDPT5_581ENDINGG_21</vt:lpstr>
      <vt:lpstr>GMIC_22A_SCDPT5!SCDPT5_581ENDINGG_22</vt:lpstr>
      <vt:lpstr>GMIC_22A_SCDPT5!SCDPT5_581ENDINGG_23</vt:lpstr>
      <vt:lpstr>GMIC_22A_SCDPT5!SCDPT5_581ENDINGG_24</vt:lpstr>
      <vt:lpstr>GMIC_22A_SCDPT5!SCDPT5_581ENDINGG_25</vt:lpstr>
      <vt:lpstr>GMIC_22A_SCDPT5!SCDPT5_581ENDINGG_26</vt:lpstr>
      <vt:lpstr>GMIC_22A_SCDPT5!SCDPT5_581ENDINGG_27</vt:lpstr>
      <vt:lpstr>GMIC_22A_SCDPT5!SCDPT5_581ENDINGG_3</vt:lpstr>
      <vt:lpstr>GMIC_22A_SCDPT5!SCDPT5_581ENDINGG_4</vt:lpstr>
      <vt:lpstr>GMIC_22A_SCDPT5!SCDPT5_581ENDINGG_5</vt:lpstr>
      <vt:lpstr>GMIC_22A_SCDPT5!SCDPT5_581ENDINGG_6</vt:lpstr>
      <vt:lpstr>GMIC_22A_SCDPT5!SCDPT5_581ENDINGG_7</vt:lpstr>
      <vt:lpstr>GMIC_22A_SCDPT5!SCDPT5_581ENDINGG_8</vt:lpstr>
      <vt:lpstr>GMIC_22A_SCDPT5!SCDPT5_581ENDINGG_9</vt:lpstr>
      <vt:lpstr>GMIC_22A_SCDPT5!SCDPT5_5910000000_Range</vt:lpstr>
      <vt:lpstr>GMIC_22A_SCDPT5!SCDPT5_5919999999_10</vt:lpstr>
      <vt:lpstr>GMIC_22A_SCDPT5!SCDPT5_5919999999_11</vt:lpstr>
      <vt:lpstr>GMIC_22A_SCDPT5!SCDPT5_5919999999_12</vt:lpstr>
      <vt:lpstr>GMIC_22A_SCDPT5!SCDPT5_5919999999_13</vt:lpstr>
      <vt:lpstr>GMIC_22A_SCDPT5!SCDPT5_5919999999_14</vt:lpstr>
      <vt:lpstr>GMIC_22A_SCDPT5!SCDPT5_5919999999_15</vt:lpstr>
      <vt:lpstr>GMIC_22A_SCDPT5!SCDPT5_5919999999_16</vt:lpstr>
      <vt:lpstr>GMIC_22A_SCDPT5!SCDPT5_5919999999_17</vt:lpstr>
      <vt:lpstr>GMIC_22A_SCDPT5!SCDPT5_5919999999_18</vt:lpstr>
      <vt:lpstr>GMIC_22A_SCDPT5!SCDPT5_5919999999_19</vt:lpstr>
      <vt:lpstr>GMIC_22A_SCDPT5!SCDPT5_5919999999_20</vt:lpstr>
      <vt:lpstr>GMIC_22A_SCDPT5!SCDPT5_5919999999_21</vt:lpstr>
      <vt:lpstr>GMIC_22A_SCDPT5!SCDPT5_5919999999_9</vt:lpstr>
      <vt:lpstr>GMIC_22A_SCDPT5!SCDPT5_591BEGINNG_1</vt:lpstr>
      <vt:lpstr>GMIC_22A_SCDPT5!SCDPT5_591BEGINNG_10</vt:lpstr>
      <vt:lpstr>GMIC_22A_SCDPT5!SCDPT5_591BEGINNG_11</vt:lpstr>
      <vt:lpstr>GMIC_22A_SCDPT5!SCDPT5_591BEGINNG_12</vt:lpstr>
      <vt:lpstr>GMIC_22A_SCDPT5!SCDPT5_591BEGINNG_13</vt:lpstr>
      <vt:lpstr>GMIC_22A_SCDPT5!SCDPT5_591BEGINNG_14</vt:lpstr>
      <vt:lpstr>GMIC_22A_SCDPT5!SCDPT5_591BEGINNG_15</vt:lpstr>
      <vt:lpstr>GMIC_22A_SCDPT5!SCDPT5_591BEGINNG_16</vt:lpstr>
      <vt:lpstr>GMIC_22A_SCDPT5!SCDPT5_591BEGINNG_17</vt:lpstr>
      <vt:lpstr>GMIC_22A_SCDPT5!SCDPT5_591BEGINNG_18</vt:lpstr>
      <vt:lpstr>GMIC_22A_SCDPT5!SCDPT5_591BEGINNG_19</vt:lpstr>
      <vt:lpstr>GMIC_22A_SCDPT5!SCDPT5_591BEGINNG_2</vt:lpstr>
      <vt:lpstr>GMIC_22A_SCDPT5!SCDPT5_591BEGINNG_20</vt:lpstr>
      <vt:lpstr>GMIC_22A_SCDPT5!SCDPT5_591BEGINNG_21</vt:lpstr>
      <vt:lpstr>GMIC_22A_SCDPT5!SCDPT5_591BEGINNG_22</vt:lpstr>
      <vt:lpstr>GMIC_22A_SCDPT5!SCDPT5_591BEGINNG_23</vt:lpstr>
      <vt:lpstr>GMIC_22A_SCDPT5!SCDPT5_591BEGINNG_24</vt:lpstr>
      <vt:lpstr>GMIC_22A_SCDPT5!SCDPT5_591BEGINNG_25</vt:lpstr>
      <vt:lpstr>GMIC_22A_SCDPT5!SCDPT5_591BEGINNG_26</vt:lpstr>
      <vt:lpstr>GMIC_22A_SCDPT5!SCDPT5_591BEGINNG_27</vt:lpstr>
      <vt:lpstr>GMIC_22A_SCDPT5!SCDPT5_591BEGINNG_3</vt:lpstr>
      <vt:lpstr>GMIC_22A_SCDPT5!SCDPT5_591BEGINNG_4</vt:lpstr>
      <vt:lpstr>GMIC_22A_SCDPT5!SCDPT5_591BEGINNG_5</vt:lpstr>
      <vt:lpstr>GMIC_22A_SCDPT5!SCDPT5_591BEGINNG_6</vt:lpstr>
      <vt:lpstr>GMIC_22A_SCDPT5!SCDPT5_591BEGINNG_7</vt:lpstr>
      <vt:lpstr>GMIC_22A_SCDPT5!SCDPT5_591BEGINNG_8</vt:lpstr>
      <vt:lpstr>GMIC_22A_SCDPT5!SCDPT5_591BEGINNG_9</vt:lpstr>
      <vt:lpstr>GMIC_22A_SCDPT5!SCDPT5_591ENDINGG_10</vt:lpstr>
      <vt:lpstr>GMIC_22A_SCDPT5!SCDPT5_591ENDINGG_11</vt:lpstr>
      <vt:lpstr>GMIC_22A_SCDPT5!SCDPT5_591ENDINGG_12</vt:lpstr>
      <vt:lpstr>GMIC_22A_SCDPT5!SCDPT5_591ENDINGG_13</vt:lpstr>
      <vt:lpstr>GMIC_22A_SCDPT5!SCDPT5_591ENDINGG_14</vt:lpstr>
      <vt:lpstr>GMIC_22A_SCDPT5!SCDPT5_591ENDINGG_15</vt:lpstr>
      <vt:lpstr>GMIC_22A_SCDPT5!SCDPT5_591ENDINGG_16</vt:lpstr>
      <vt:lpstr>GMIC_22A_SCDPT5!SCDPT5_591ENDINGG_17</vt:lpstr>
      <vt:lpstr>GMIC_22A_SCDPT5!SCDPT5_591ENDINGG_18</vt:lpstr>
      <vt:lpstr>GMIC_22A_SCDPT5!SCDPT5_591ENDINGG_19</vt:lpstr>
      <vt:lpstr>GMIC_22A_SCDPT5!SCDPT5_591ENDINGG_2</vt:lpstr>
      <vt:lpstr>GMIC_22A_SCDPT5!SCDPT5_591ENDINGG_20</vt:lpstr>
      <vt:lpstr>GMIC_22A_SCDPT5!SCDPT5_591ENDINGG_21</vt:lpstr>
      <vt:lpstr>GMIC_22A_SCDPT5!SCDPT5_591ENDINGG_22</vt:lpstr>
      <vt:lpstr>GMIC_22A_SCDPT5!SCDPT5_591ENDINGG_23</vt:lpstr>
      <vt:lpstr>GMIC_22A_SCDPT5!SCDPT5_591ENDINGG_24</vt:lpstr>
      <vt:lpstr>GMIC_22A_SCDPT5!SCDPT5_591ENDINGG_25</vt:lpstr>
      <vt:lpstr>GMIC_22A_SCDPT5!SCDPT5_591ENDINGG_26</vt:lpstr>
      <vt:lpstr>GMIC_22A_SCDPT5!SCDPT5_591ENDINGG_27</vt:lpstr>
      <vt:lpstr>GMIC_22A_SCDPT5!SCDPT5_591ENDINGG_3</vt:lpstr>
      <vt:lpstr>GMIC_22A_SCDPT5!SCDPT5_591ENDINGG_4</vt:lpstr>
      <vt:lpstr>GMIC_22A_SCDPT5!SCDPT5_591ENDINGG_5</vt:lpstr>
      <vt:lpstr>GMIC_22A_SCDPT5!SCDPT5_591ENDINGG_6</vt:lpstr>
      <vt:lpstr>GMIC_22A_SCDPT5!SCDPT5_591ENDINGG_7</vt:lpstr>
      <vt:lpstr>GMIC_22A_SCDPT5!SCDPT5_591ENDINGG_8</vt:lpstr>
      <vt:lpstr>GMIC_22A_SCDPT5!SCDPT5_591ENDINGG_9</vt:lpstr>
      <vt:lpstr>GMIC_22A_SCDPT5!SCDPT5_5920000000_Range</vt:lpstr>
      <vt:lpstr>GMIC_22A_SCDPT5!SCDPT5_5929999999_10</vt:lpstr>
      <vt:lpstr>GMIC_22A_SCDPT5!SCDPT5_5929999999_11</vt:lpstr>
      <vt:lpstr>GMIC_22A_SCDPT5!SCDPT5_5929999999_12</vt:lpstr>
      <vt:lpstr>GMIC_22A_SCDPT5!SCDPT5_5929999999_13</vt:lpstr>
      <vt:lpstr>GMIC_22A_SCDPT5!SCDPT5_5929999999_14</vt:lpstr>
      <vt:lpstr>GMIC_22A_SCDPT5!SCDPT5_5929999999_15</vt:lpstr>
      <vt:lpstr>GMIC_22A_SCDPT5!SCDPT5_5929999999_16</vt:lpstr>
      <vt:lpstr>GMIC_22A_SCDPT5!SCDPT5_5929999999_17</vt:lpstr>
      <vt:lpstr>GMIC_22A_SCDPT5!SCDPT5_5929999999_18</vt:lpstr>
      <vt:lpstr>GMIC_22A_SCDPT5!SCDPT5_5929999999_19</vt:lpstr>
      <vt:lpstr>GMIC_22A_SCDPT5!SCDPT5_5929999999_20</vt:lpstr>
      <vt:lpstr>GMIC_22A_SCDPT5!SCDPT5_5929999999_21</vt:lpstr>
      <vt:lpstr>GMIC_22A_SCDPT5!SCDPT5_5929999999_9</vt:lpstr>
      <vt:lpstr>GMIC_22A_SCDPT5!SCDPT5_592BEGINNG_1</vt:lpstr>
      <vt:lpstr>GMIC_22A_SCDPT5!SCDPT5_592BEGINNG_10</vt:lpstr>
      <vt:lpstr>GMIC_22A_SCDPT5!SCDPT5_592BEGINNG_11</vt:lpstr>
      <vt:lpstr>GMIC_22A_SCDPT5!SCDPT5_592BEGINNG_12</vt:lpstr>
      <vt:lpstr>GMIC_22A_SCDPT5!SCDPT5_592BEGINNG_13</vt:lpstr>
      <vt:lpstr>GMIC_22A_SCDPT5!SCDPT5_592BEGINNG_14</vt:lpstr>
      <vt:lpstr>GMIC_22A_SCDPT5!SCDPT5_592BEGINNG_15</vt:lpstr>
      <vt:lpstr>GMIC_22A_SCDPT5!SCDPT5_592BEGINNG_16</vt:lpstr>
      <vt:lpstr>GMIC_22A_SCDPT5!SCDPT5_592BEGINNG_17</vt:lpstr>
      <vt:lpstr>GMIC_22A_SCDPT5!SCDPT5_592BEGINNG_18</vt:lpstr>
      <vt:lpstr>GMIC_22A_SCDPT5!SCDPT5_592BEGINNG_19</vt:lpstr>
      <vt:lpstr>GMIC_22A_SCDPT5!SCDPT5_592BEGINNG_2</vt:lpstr>
      <vt:lpstr>GMIC_22A_SCDPT5!SCDPT5_592BEGINNG_20</vt:lpstr>
      <vt:lpstr>GMIC_22A_SCDPT5!SCDPT5_592BEGINNG_21</vt:lpstr>
      <vt:lpstr>GMIC_22A_SCDPT5!SCDPT5_592BEGINNG_22</vt:lpstr>
      <vt:lpstr>GMIC_22A_SCDPT5!SCDPT5_592BEGINNG_23</vt:lpstr>
      <vt:lpstr>GMIC_22A_SCDPT5!SCDPT5_592BEGINNG_24</vt:lpstr>
      <vt:lpstr>GMIC_22A_SCDPT5!SCDPT5_592BEGINNG_25</vt:lpstr>
      <vt:lpstr>GMIC_22A_SCDPT5!SCDPT5_592BEGINNG_26</vt:lpstr>
      <vt:lpstr>GMIC_22A_SCDPT5!SCDPT5_592BEGINNG_27</vt:lpstr>
      <vt:lpstr>GMIC_22A_SCDPT5!SCDPT5_592BEGINNG_3</vt:lpstr>
      <vt:lpstr>GMIC_22A_SCDPT5!SCDPT5_592BEGINNG_4</vt:lpstr>
      <vt:lpstr>GMIC_22A_SCDPT5!SCDPT5_592BEGINNG_5</vt:lpstr>
      <vt:lpstr>GMIC_22A_SCDPT5!SCDPT5_592BEGINNG_6</vt:lpstr>
      <vt:lpstr>GMIC_22A_SCDPT5!SCDPT5_592BEGINNG_7</vt:lpstr>
      <vt:lpstr>GMIC_22A_SCDPT5!SCDPT5_592BEGINNG_8</vt:lpstr>
      <vt:lpstr>GMIC_22A_SCDPT5!SCDPT5_592BEGINNG_9</vt:lpstr>
      <vt:lpstr>GMIC_22A_SCDPT5!SCDPT5_592ENDINGG_10</vt:lpstr>
      <vt:lpstr>GMIC_22A_SCDPT5!SCDPT5_592ENDINGG_11</vt:lpstr>
      <vt:lpstr>GMIC_22A_SCDPT5!SCDPT5_592ENDINGG_12</vt:lpstr>
      <vt:lpstr>GMIC_22A_SCDPT5!SCDPT5_592ENDINGG_13</vt:lpstr>
      <vt:lpstr>GMIC_22A_SCDPT5!SCDPT5_592ENDINGG_14</vt:lpstr>
      <vt:lpstr>GMIC_22A_SCDPT5!SCDPT5_592ENDINGG_15</vt:lpstr>
      <vt:lpstr>GMIC_22A_SCDPT5!SCDPT5_592ENDINGG_16</vt:lpstr>
      <vt:lpstr>GMIC_22A_SCDPT5!SCDPT5_592ENDINGG_17</vt:lpstr>
      <vt:lpstr>GMIC_22A_SCDPT5!SCDPT5_592ENDINGG_18</vt:lpstr>
      <vt:lpstr>GMIC_22A_SCDPT5!SCDPT5_592ENDINGG_19</vt:lpstr>
      <vt:lpstr>GMIC_22A_SCDPT5!SCDPT5_592ENDINGG_2</vt:lpstr>
      <vt:lpstr>GMIC_22A_SCDPT5!SCDPT5_592ENDINGG_20</vt:lpstr>
      <vt:lpstr>GMIC_22A_SCDPT5!SCDPT5_592ENDINGG_21</vt:lpstr>
      <vt:lpstr>GMIC_22A_SCDPT5!SCDPT5_592ENDINGG_22</vt:lpstr>
      <vt:lpstr>GMIC_22A_SCDPT5!SCDPT5_592ENDINGG_23</vt:lpstr>
      <vt:lpstr>GMIC_22A_SCDPT5!SCDPT5_592ENDINGG_24</vt:lpstr>
      <vt:lpstr>GMIC_22A_SCDPT5!SCDPT5_592ENDINGG_25</vt:lpstr>
      <vt:lpstr>GMIC_22A_SCDPT5!SCDPT5_592ENDINGG_26</vt:lpstr>
      <vt:lpstr>GMIC_22A_SCDPT5!SCDPT5_592ENDINGG_27</vt:lpstr>
      <vt:lpstr>GMIC_22A_SCDPT5!SCDPT5_592ENDINGG_3</vt:lpstr>
      <vt:lpstr>GMIC_22A_SCDPT5!SCDPT5_592ENDINGG_4</vt:lpstr>
      <vt:lpstr>GMIC_22A_SCDPT5!SCDPT5_592ENDINGG_5</vt:lpstr>
      <vt:lpstr>GMIC_22A_SCDPT5!SCDPT5_592ENDINGG_6</vt:lpstr>
      <vt:lpstr>GMIC_22A_SCDPT5!SCDPT5_592ENDINGG_7</vt:lpstr>
      <vt:lpstr>GMIC_22A_SCDPT5!SCDPT5_592ENDINGG_8</vt:lpstr>
      <vt:lpstr>GMIC_22A_SCDPT5!SCDPT5_592ENDINGG_9</vt:lpstr>
      <vt:lpstr>GMIC_22A_SCDPT5!SCDPT5_5989999998_10</vt:lpstr>
      <vt:lpstr>GMIC_22A_SCDPT5!SCDPT5_5989999998_11</vt:lpstr>
      <vt:lpstr>GMIC_22A_SCDPT5!SCDPT5_5989999998_12</vt:lpstr>
      <vt:lpstr>GMIC_22A_SCDPT5!SCDPT5_5989999998_13</vt:lpstr>
      <vt:lpstr>GMIC_22A_SCDPT5!SCDPT5_5989999998_14</vt:lpstr>
      <vt:lpstr>GMIC_22A_SCDPT5!SCDPT5_5989999998_15</vt:lpstr>
      <vt:lpstr>GMIC_22A_SCDPT5!SCDPT5_5989999998_16</vt:lpstr>
      <vt:lpstr>GMIC_22A_SCDPT5!SCDPT5_5989999998_17</vt:lpstr>
      <vt:lpstr>GMIC_22A_SCDPT5!SCDPT5_5989999998_18</vt:lpstr>
      <vt:lpstr>GMIC_22A_SCDPT5!SCDPT5_5989999998_19</vt:lpstr>
      <vt:lpstr>GMIC_22A_SCDPT5!SCDPT5_5989999998_20</vt:lpstr>
      <vt:lpstr>GMIC_22A_SCDPT5!SCDPT5_5989999998_21</vt:lpstr>
      <vt:lpstr>GMIC_22A_SCDPT5!SCDPT5_5989999998_9</vt:lpstr>
      <vt:lpstr>GMIC_22A_SCDPT5!SCDPT5_5999999999_10</vt:lpstr>
      <vt:lpstr>GMIC_22A_SCDPT5!SCDPT5_5999999999_11</vt:lpstr>
      <vt:lpstr>GMIC_22A_SCDPT5!SCDPT5_5999999999_12</vt:lpstr>
      <vt:lpstr>GMIC_22A_SCDPT5!SCDPT5_5999999999_13</vt:lpstr>
      <vt:lpstr>GMIC_22A_SCDPT5!SCDPT5_5999999999_14</vt:lpstr>
      <vt:lpstr>GMIC_22A_SCDPT5!SCDPT5_5999999999_15</vt:lpstr>
      <vt:lpstr>GMIC_22A_SCDPT5!SCDPT5_5999999999_16</vt:lpstr>
      <vt:lpstr>GMIC_22A_SCDPT5!SCDPT5_5999999999_17</vt:lpstr>
      <vt:lpstr>GMIC_22A_SCDPT5!SCDPT5_5999999999_18</vt:lpstr>
      <vt:lpstr>GMIC_22A_SCDPT5!SCDPT5_5999999999_19</vt:lpstr>
      <vt:lpstr>GMIC_22A_SCDPT5!SCDPT5_5999999999_20</vt:lpstr>
      <vt:lpstr>GMIC_22A_SCDPT5!SCDPT5_5999999999_21</vt:lpstr>
      <vt:lpstr>GMIC_22A_SCDPT5!SCDPT5_5999999999_9</vt:lpstr>
      <vt:lpstr>GMIC_22A_SCDPT5!SCDPT5_6009999999_10</vt:lpstr>
      <vt:lpstr>GMIC_22A_SCDPT5!SCDPT5_6009999999_11</vt:lpstr>
      <vt:lpstr>GMIC_22A_SCDPT5!SCDPT5_6009999999_12</vt:lpstr>
      <vt:lpstr>GMIC_22A_SCDPT5!SCDPT5_6009999999_13</vt:lpstr>
      <vt:lpstr>GMIC_22A_SCDPT5!SCDPT5_6009999999_14</vt:lpstr>
      <vt:lpstr>GMIC_22A_SCDPT5!SCDPT5_6009999999_15</vt:lpstr>
      <vt:lpstr>GMIC_22A_SCDPT5!SCDPT5_6009999999_16</vt:lpstr>
      <vt:lpstr>GMIC_22A_SCDPT5!SCDPT5_6009999999_17</vt:lpstr>
      <vt:lpstr>GMIC_22A_SCDPT5!SCDPT5_6009999999_18</vt:lpstr>
      <vt:lpstr>GMIC_22A_SCDPT5!SCDPT5_6009999999_19</vt:lpstr>
      <vt:lpstr>GMIC_22A_SCDPT5!SCDPT5_6009999999_20</vt:lpstr>
      <vt:lpstr>GMIC_22A_SCDPT5!SCDPT5_6009999999_21</vt:lpstr>
      <vt:lpstr>GMIC_22A_SCDPT5!SCDPT5_6009999999_9</vt:lpstr>
      <vt:lpstr>GMIC_22A_SCDPT6SN1!SCDPT6SN1_0100000_Range</vt:lpstr>
      <vt:lpstr>GMIC_22A_SCDPT6SN1!SCDPT6SN1_0199999_16</vt:lpstr>
      <vt:lpstr>GMIC_22A_SCDPT6SN1!SCDPT6SN1_0199999_17</vt:lpstr>
      <vt:lpstr>GMIC_22A_SCDPT6SN1!SCDPT6SN1_0199999_18</vt:lpstr>
      <vt:lpstr>GMIC_22A_SCDPT6SN1!SCDPT6SN1_0199999_7</vt:lpstr>
      <vt:lpstr>GMIC_22A_SCDPT6SN1!SCDPT6SN1_0199999_8</vt:lpstr>
      <vt:lpstr>GMIC_22A_SCDPT6SN1!SCDPT6SN1_0199999_9</vt:lpstr>
      <vt:lpstr>GMIC_22A_SCDPT6SN1!SCDPT6SN1_01BEGIN_1</vt:lpstr>
      <vt:lpstr>GMIC_22A_SCDPT6SN1!SCDPT6SN1_01BEGIN_10</vt:lpstr>
      <vt:lpstr>GMIC_22A_SCDPT6SN1!SCDPT6SN1_01BEGIN_11</vt:lpstr>
      <vt:lpstr>GMIC_22A_SCDPT6SN1!SCDPT6SN1_01BEGIN_12</vt:lpstr>
      <vt:lpstr>GMIC_22A_SCDPT6SN1!SCDPT6SN1_01BEGIN_13</vt:lpstr>
      <vt:lpstr>GMIC_22A_SCDPT6SN1!SCDPT6SN1_01BEGIN_14</vt:lpstr>
      <vt:lpstr>GMIC_22A_SCDPT6SN1!SCDPT6SN1_01BEGIN_15</vt:lpstr>
      <vt:lpstr>GMIC_22A_SCDPT6SN1!SCDPT6SN1_01BEGIN_16</vt:lpstr>
      <vt:lpstr>GMIC_22A_SCDPT6SN1!SCDPT6SN1_01BEGIN_17</vt:lpstr>
      <vt:lpstr>GMIC_22A_SCDPT6SN1!SCDPT6SN1_01BEGIN_18</vt:lpstr>
      <vt:lpstr>GMIC_22A_SCDPT6SN1!SCDPT6SN1_01BEGIN_19</vt:lpstr>
      <vt:lpstr>GMIC_22A_SCDPT6SN1!SCDPT6SN1_01BEGIN_2</vt:lpstr>
      <vt:lpstr>GMIC_22A_SCDPT6SN1!SCDPT6SN1_01BEGIN_3</vt:lpstr>
      <vt:lpstr>GMIC_22A_SCDPT6SN1!SCDPT6SN1_01BEGIN_4</vt:lpstr>
      <vt:lpstr>GMIC_22A_SCDPT6SN1!SCDPT6SN1_01BEGIN_5</vt:lpstr>
      <vt:lpstr>GMIC_22A_SCDPT6SN1!SCDPT6SN1_01BEGIN_6</vt:lpstr>
      <vt:lpstr>GMIC_22A_SCDPT6SN1!SCDPT6SN1_01BEGIN_7</vt:lpstr>
      <vt:lpstr>GMIC_22A_SCDPT6SN1!SCDPT6SN1_01BEGIN_8</vt:lpstr>
      <vt:lpstr>GMIC_22A_SCDPT6SN1!SCDPT6SN1_01BEGIN_9</vt:lpstr>
      <vt:lpstr>GMIC_22A_SCDPT6SN1!SCDPT6SN1_01ENDIN_10</vt:lpstr>
      <vt:lpstr>GMIC_22A_SCDPT6SN1!SCDPT6SN1_01ENDIN_11</vt:lpstr>
      <vt:lpstr>GMIC_22A_SCDPT6SN1!SCDPT6SN1_01ENDIN_12</vt:lpstr>
      <vt:lpstr>GMIC_22A_SCDPT6SN1!SCDPT6SN1_01ENDIN_13</vt:lpstr>
      <vt:lpstr>GMIC_22A_SCDPT6SN1!SCDPT6SN1_01ENDIN_14</vt:lpstr>
      <vt:lpstr>GMIC_22A_SCDPT6SN1!SCDPT6SN1_01ENDIN_15</vt:lpstr>
      <vt:lpstr>GMIC_22A_SCDPT6SN1!SCDPT6SN1_01ENDIN_16</vt:lpstr>
      <vt:lpstr>GMIC_22A_SCDPT6SN1!SCDPT6SN1_01ENDIN_17</vt:lpstr>
      <vt:lpstr>GMIC_22A_SCDPT6SN1!SCDPT6SN1_01ENDIN_18</vt:lpstr>
      <vt:lpstr>GMIC_22A_SCDPT6SN1!SCDPT6SN1_01ENDIN_19</vt:lpstr>
      <vt:lpstr>GMIC_22A_SCDPT6SN1!SCDPT6SN1_01ENDIN_2</vt:lpstr>
      <vt:lpstr>GMIC_22A_SCDPT6SN1!SCDPT6SN1_01ENDIN_3</vt:lpstr>
      <vt:lpstr>GMIC_22A_SCDPT6SN1!SCDPT6SN1_01ENDIN_4</vt:lpstr>
      <vt:lpstr>GMIC_22A_SCDPT6SN1!SCDPT6SN1_01ENDIN_5</vt:lpstr>
      <vt:lpstr>GMIC_22A_SCDPT6SN1!SCDPT6SN1_01ENDIN_6</vt:lpstr>
      <vt:lpstr>GMIC_22A_SCDPT6SN1!SCDPT6SN1_01ENDIN_7</vt:lpstr>
      <vt:lpstr>GMIC_22A_SCDPT6SN1!SCDPT6SN1_01ENDIN_8</vt:lpstr>
      <vt:lpstr>GMIC_22A_SCDPT6SN1!SCDPT6SN1_01ENDIN_9</vt:lpstr>
      <vt:lpstr>GMIC_22A_SCDPT6SN1!SCDPT6SN1_0200000_Range</vt:lpstr>
      <vt:lpstr>GMIC_22A_SCDPT6SN1!SCDPT6SN1_0299999_16</vt:lpstr>
      <vt:lpstr>GMIC_22A_SCDPT6SN1!SCDPT6SN1_0299999_17</vt:lpstr>
      <vt:lpstr>GMIC_22A_SCDPT6SN1!SCDPT6SN1_0299999_18</vt:lpstr>
      <vt:lpstr>GMIC_22A_SCDPT6SN1!SCDPT6SN1_0299999_7</vt:lpstr>
      <vt:lpstr>GMIC_22A_SCDPT6SN1!SCDPT6SN1_0299999_8</vt:lpstr>
      <vt:lpstr>GMIC_22A_SCDPT6SN1!SCDPT6SN1_0299999_9</vt:lpstr>
      <vt:lpstr>GMIC_22A_SCDPT6SN1!SCDPT6SN1_02BEGIN_1</vt:lpstr>
      <vt:lpstr>GMIC_22A_SCDPT6SN1!SCDPT6SN1_02BEGIN_10</vt:lpstr>
      <vt:lpstr>GMIC_22A_SCDPT6SN1!SCDPT6SN1_02BEGIN_11</vt:lpstr>
      <vt:lpstr>GMIC_22A_SCDPT6SN1!SCDPT6SN1_02BEGIN_12</vt:lpstr>
      <vt:lpstr>GMIC_22A_SCDPT6SN1!SCDPT6SN1_02BEGIN_13</vt:lpstr>
      <vt:lpstr>GMIC_22A_SCDPT6SN1!SCDPT6SN1_02BEGIN_14</vt:lpstr>
      <vt:lpstr>GMIC_22A_SCDPT6SN1!SCDPT6SN1_02BEGIN_15</vt:lpstr>
      <vt:lpstr>GMIC_22A_SCDPT6SN1!SCDPT6SN1_02BEGIN_16</vt:lpstr>
      <vt:lpstr>GMIC_22A_SCDPT6SN1!SCDPT6SN1_02BEGIN_17</vt:lpstr>
      <vt:lpstr>GMIC_22A_SCDPT6SN1!SCDPT6SN1_02BEGIN_18</vt:lpstr>
      <vt:lpstr>GMIC_22A_SCDPT6SN1!SCDPT6SN1_02BEGIN_19</vt:lpstr>
      <vt:lpstr>GMIC_22A_SCDPT6SN1!SCDPT6SN1_02BEGIN_2</vt:lpstr>
      <vt:lpstr>GMIC_22A_SCDPT6SN1!SCDPT6SN1_02BEGIN_3</vt:lpstr>
      <vt:lpstr>GMIC_22A_SCDPT6SN1!SCDPT6SN1_02BEGIN_4</vt:lpstr>
      <vt:lpstr>GMIC_22A_SCDPT6SN1!SCDPT6SN1_02BEGIN_5</vt:lpstr>
      <vt:lpstr>GMIC_22A_SCDPT6SN1!SCDPT6SN1_02BEGIN_6</vt:lpstr>
      <vt:lpstr>GMIC_22A_SCDPT6SN1!SCDPT6SN1_02BEGIN_7</vt:lpstr>
      <vt:lpstr>GMIC_22A_SCDPT6SN1!SCDPT6SN1_02BEGIN_8</vt:lpstr>
      <vt:lpstr>GMIC_22A_SCDPT6SN1!SCDPT6SN1_02BEGIN_9</vt:lpstr>
      <vt:lpstr>GMIC_22A_SCDPT6SN1!SCDPT6SN1_02ENDIN_10</vt:lpstr>
      <vt:lpstr>GMIC_22A_SCDPT6SN1!SCDPT6SN1_02ENDIN_11</vt:lpstr>
      <vt:lpstr>GMIC_22A_SCDPT6SN1!SCDPT6SN1_02ENDIN_12</vt:lpstr>
      <vt:lpstr>GMIC_22A_SCDPT6SN1!SCDPT6SN1_02ENDIN_13</vt:lpstr>
      <vt:lpstr>GMIC_22A_SCDPT6SN1!SCDPT6SN1_02ENDIN_14</vt:lpstr>
      <vt:lpstr>GMIC_22A_SCDPT6SN1!SCDPT6SN1_02ENDIN_15</vt:lpstr>
      <vt:lpstr>GMIC_22A_SCDPT6SN1!SCDPT6SN1_02ENDIN_16</vt:lpstr>
      <vt:lpstr>GMIC_22A_SCDPT6SN1!SCDPT6SN1_02ENDIN_17</vt:lpstr>
      <vt:lpstr>GMIC_22A_SCDPT6SN1!SCDPT6SN1_02ENDIN_18</vt:lpstr>
      <vt:lpstr>GMIC_22A_SCDPT6SN1!SCDPT6SN1_02ENDIN_19</vt:lpstr>
      <vt:lpstr>GMIC_22A_SCDPT6SN1!SCDPT6SN1_02ENDIN_2</vt:lpstr>
      <vt:lpstr>GMIC_22A_SCDPT6SN1!SCDPT6SN1_02ENDIN_3</vt:lpstr>
      <vt:lpstr>GMIC_22A_SCDPT6SN1!SCDPT6SN1_02ENDIN_4</vt:lpstr>
      <vt:lpstr>GMIC_22A_SCDPT6SN1!SCDPT6SN1_02ENDIN_5</vt:lpstr>
      <vt:lpstr>GMIC_22A_SCDPT6SN1!SCDPT6SN1_02ENDIN_6</vt:lpstr>
      <vt:lpstr>GMIC_22A_SCDPT6SN1!SCDPT6SN1_02ENDIN_7</vt:lpstr>
      <vt:lpstr>GMIC_22A_SCDPT6SN1!SCDPT6SN1_02ENDIN_8</vt:lpstr>
      <vt:lpstr>GMIC_22A_SCDPT6SN1!SCDPT6SN1_02ENDIN_9</vt:lpstr>
      <vt:lpstr>GMIC_22A_SCDPT6SN1!SCDPT6SN1_0300000_Range</vt:lpstr>
      <vt:lpstr>GMIC_22A_SCDPT6SN1!SCDPT6SN1_0399999_16</vt:lpstr>
      <vt:lpstr>GMIC_22A_SCDPT6SN1!SCDPT6SN1_0399999_17</vt:lpstr>
      <vt:lpstr>GMIC_22A_SCDPT6SN1!SCDPT6SN1_0399999_18</vt:lpstr>
      <vt:lpstr>GMIC_22A_SCDPT6SN1!SCDPT6SN1_0399999_7</vt:lpstr>
      <vt:lpstr>GMIC_22A_SCDPT6SN1!SCDPT6SN1_0399999_8</vt:lpstr>
      <vt:lpstr>GMIC_22A_SCDPT6SN1!SCDPT6SN1_0399999_9</vt:lpstr>
      <vt:lpstr>GMIC_22A_SCDPT6SN1!SCDPT6SN1_03BEGIN_1</vt:lpstr>
      <vt:lpstr>GMIC_22A_SCDPT6SN1!SCDPT6SN1_03BEGIN_10</vt:lpstr>
      <vt:lpstr>GMIC_22A_SCDPT6SN1!SCDPT6SN1_03BEGIN_11</vt:lpstr>
      <vt:lpstr>GMIC_22A_SCDPT6SN1!SCDPT6SN1_03BEGIN_12</vt:lpstr>
      <vt:lpstr>GMIC_22A_SCDPT6SN1!SCDPT6SN1_03BEGIN_13</vt:lpstr>
      <vt:lpstr>GMIC_22A_SCDPT6SN1!SCDPT6SN1_03BEGIN_14</vt:lpstr>
      <vt:lpstr>GMIC_22A_SCDPT6SN1!SCDPT6SN1_03BEGIN_15</vt:lpstr>
      <vt:lpstr>GMIC_22A_SCDPT6SN1!SCDPT6SN1_03BEGIN_16</vt:lpstr>
      <vt:lpstr>GMIC_22A_SCDPT6SN1!SCDPT6SN1_03BEGIN_17</vt:lpstr>
      <vt:lpstr>GMIC_22A_SCDPT6SN1!SCDPT6SN1_03BEGIN_18</vt:lpstr>
      <vt:lpstr>GMIC_22A_SCDPT6SN1!SCDPT6SN1_03BEGIN_19</vt:lpstr>
      <vt:lpstr>GMIC_22A_SCDPT6SN1!SCDPT6SN1_03BEGIN_2</vt:lpstr>
      <vt:lpstr>GMIC_22A_SCDPT6SN1!SCDPT6SN1_03BEGIN_3</vt:lpstr>
      <vt:lpstr>GMIC_22A_SCDPT6SN1!SCDPT6SN1_03BEGIN_4</vt:lpstr>
      <vt:lpstr>GMIC_22A_SCDPT6SN1!SCDPT6SN1_03BEGIN_5</vt:lpstr>
      <vt:lpstr>GMIC_22A_SCDPT6SN1!SCDPT6SN1_03BEGIN_6</vt:lpstr>
      <vt:lpstr>GMIC_22A_SCDPT6SN1!SCDPT6SN1_03BEGIN_7</vt:lpstr>
      <vt:lpstr>GMIC_22A_SCDPT6SN1!SCDPT6SN1_03BEGIN_8</vt:lpstr>
      <vt:lpstr>GMIC_22A_SCDPT6SN1!SCDPT6SN1_03BEGIN_9</vt:lpstr>
      <vt:lpstr>GMIC_22A_SCDPT6SN1!SCDPT6SN1_03ENDIN_10</vt:lpstr>
      <vt:lpstr>GMIC_22A_SCDPT6SN1!SCDPT6SN1_03ENDIN_11</vt:lpstr>
      <vt:lpstr>GMIC_22A_SCDPT6SN1!SCDPT6SN1_03ENDIN_12</vt:lpstr>
      <vt:lpstr>GMIC_22A_SCDPT6SN1!SCDPT6SN1_03ENDIN_13</vt:lpstr>
      <vt:lpstr>GMIC_22A_SCDPT6SN1!SCDPT6SN1_03ENDIN_14</vt:lpstr>
      <vt:lpstr>GMIC_22A_SCDPT6SN1!SCDPT6SN1_03ENDIN_15</vt:lpstr>
      <vt:lpstr>GMIC_22A_SCDPT6SN1!SCDPT6SN1_03ENDIN_16</vt:lpstr>
      <vt:lpstr>GMIC_22A_SCDPT6SN1!SCDPT6SN1_03ENDIN_17</vt:lpstr>
      <vt:lpstr>GMIC_22A_SCDPT6SN1!SCDPT6SN1_03ENDIN_18</vt:lpstr>
      <vt:lpstr>GMIC_22A_SCDPT6SN1!SCDPT6SN1_03ENDIN_19</vt:lpstr>
      <vt:lpstr>GMIC_22A_SCDPT6SN1!SCDPT6SN1_03ENDIN_2</vt:lpstr>
      <vt:lpstr>GMIC_22A_SCDPT6SN1!SCDPT6SN1_03ENDIN_3</vt:lpstr>
      <vt:lpstr>GMIC_22A_SCDPT6SN1!SCDPT6SN1_03ENDIN_4</vt:lpstr>
      <vt:lpstr>GMIC_22A_SCDPT6SN1!SCDPT6SN1_03ENDIN_5</vt:lpstr>
      <vt:lpstr>GMIC_22A_SCDPT6SN1!SCDPT6SN1_03ENDIN_6</vt:lpstr>
      <vt:lpstr>GMIC_22A_SCDPT6SN1!SCDPT6SN1_03ENDIN_7</vt:lpstr>
      <vt:lpstr>GMIC_22A_SCDPT6SN1!SCDPT6SN1_03ENDIN_8</vt:lpstr>
      <vt:lpstr>GMIC_22A_SCDPT6SN1!SCDPT6SN1_03ENDIN_9</vt:lpstr>
      <vt:lpstr>GMIC_22A_SCDPT6SN1!SCDPT6SN1_0400000_Range</vt:lpstr>
      <vt:lpstr>GMIC_22A_SCDPT6SN1!SCDPT6SN1_0499999_16</vt:lpstr>
      <vt:lpstr>GMIC_22A_SCDPT6SN1!SCDPT6SN1_0499999_17</vt:lpstr>
      <vt:lpstr>GMIC_22A_SCDPT6SN1!SCDPT6SN1_0499999_18</vt:lpstr>
      <vt:lpstr>GMIC_22A_SCDPT6SN1!SCDPT6SN1_0499999_7</vt:lpstr>
      <vt:lpstr>GMIC_22A_SCDPT6SN1!SCDPT6SN1_0499999_8</vt:lpstr>
      <vt:lpstr>GMIC_22A_SCDPT6SN1!SCDPT6SN1_0499999_9</vt:lpstr>
      <vt:lpstr>GMIC_22A_SCDPT6SN1!SCDPT6SN1_04BEGIN_1</vt:lpstr>
      <vt:lpstr>GMIC_22A_SCDPT6SN1!SCDPT6SN1_04BEGIN_10</vt:lpstr>
      <vt:lpstr>GMIC_22A_SCDPT6SN1!SCDPT6SN1_04BEGIN_11</vt:lpstr>
      <vt:lpstr>GMIC_22A_SCDPT6SN1!SCDPT6SN1_04BEGIN_12</vt:lpstr>
      <vt:lpstr>GMIC_22A_SCDPT6SN1!SCDPT6SN1_04BEGIN_13</vt:lpstr>
      <vt:lpstr>GMIC_22A_SCDPT6SN1!SCDPT6SN1_04BEGIN_14</vt:lpstr>
      <vt:lpstr>GMIC_22A_SCDPT6SN1!SCDPT6SN1_04BEGIN_15</vt:lpstr>
      <vt:lpstr>GMIC_22A_SCDPT6SN1!SCDPT6SN1_04BEGIN_16</vt:lpstr>
      <vt:lpstr>GMIC_22A_SCDPT6SN1!SCDPT6SN1_04BEGIN_17</vt:lpstr>
      <vt:lpstr>GMIC_22A_SCDPT6SN1!SCDPT6SN1_04BEGIN_18</vt:lpstr>
      <vt:lpstr>GMIC_22A_SCDPT6SN1!SCDPT6SN1_04BEGIN_19</vt:lpstr>
      <vt:lpstr>GMIC_22A_SCDPT6SN1!SCDPT6SN1_04BEGIN_2</vt:lpstr>
      <vt:lpstr>GMIC_22A_SCDPT6SN1!SCDPT6SN1_04BEGIN_3</vt:lpstr>
      <vt:lpstr>GMIC_22A_SCDPT6SN1!SCDPT6SN1_04BEGIN_4</vt:lpstr>
      <vt:lpstr>GMIC_22A_SCDPT6SN1!SCDPT6SN1_04BEGIN_5</vt:lpstr>
      <vt:lpstr>GMIC_22A_SCDPT6SN1!SCDPT6SN1_04BEGIN_6</vt:lpstr>
      <vt:lpstr>GMIC_22A_SCDPT6SN1!SCDPT6SN1_04BEGIN_7</vt:lpstr>
      <vt:lpstr>GMIC_22A_SCDPT6SN1!SCDPT6SN1_04BEGIN_8</vt:lpstr>
      <vt:lpstr>GMIC_22A_SCDPT6SN1!SCDPT6SN1_04BEGIN_9</vt:lpstr>
      <vt:lpstr>GMIC_22A_SCDPT6SN1!SCDPT6SN1_04ENDIN_10</vt:lpstr>
      <vt:lpstr>GMIC_22A_SCDPT6SN1!SCDPT6SN1_04ENDIN_11</vt:lpstr>
      <vt:lpstr>GMIC_22A_SCDPT6SN1!SCDPT6SN1_04ENDIN_12</vt:lpstr>
      <vt:lpstr>GMIC_22A_SCDPT6SN1!SCDPT6SN1_04ENDIN_13</vt:lpstr>
      <vt:lpstr>GMIC_22A_SCDPT6SN1!SCDPT6SN1_04ENDIN_14</vt:lpstr>
      <vt:lpstr>GMIC_22A_SCDPT6SN1!SCDPT6SN1_04ENDIN_15</vt:lpstr>
      <vt:lpstr>GMIC_22A_SCDPT6SN1!SCDPT6SN1_04ENDIN_16</vt:lpstr>
      <vt:lpstr>GMIC_22A_SCDPT6SN1!SCDPT6SN1_04ENDIN_17</vt:lpstr>
      <vt:lpstr>GMIC_22A_SCDPT6SN1!SCDPT6SN1_04ENDIN_18</vt:lpstr>
      <vt:lpstr>GMIC_22A_SCDPT6SN1!SCDPT6SN1_04ENDIN_19</vt:lpstr>
      <vt:lpstr>GMIC_22A_SCDPT6SN1!SCDPT6SN1_04ENDIN_2</vt:lpstr>
      <vt:lpstr>GMIC_22A_SCDPT6SN1!SCDPT6SN1_04ENDIN_3</vt:lpstr>
      <vt:lpstr>GMIC_22A_SCDPT6SN1!SCDPT6SN1_04ENDIN_4</vt:lpstr>
      <vt:lpstr>GMIC_22A_SCDPT6SN1!SCDPT6SN1_04ENDIN_5</vt:lpstr>
      <vt:lpstr>GMIC_22A_SCDPT6SN1!SCDPT6SN1_04ENDIN_6</vt:lpstr>
      <vt:lpstr>GMIC_22A_SCDPT6SN1!SCDPT6SN1_04ENDIN_7</vt:lpstr>
      <vt:lpstr>GMIC_22A_SCDPT6SN1!SCDPT6SN1_04ENDIN_8</vt:lpstr>
      <vt:lpstr>GMIC_22A_SCDPT6SN1!SCDPT6SN1_04ENDIN_9</vt:lpstr>
      <vt:lpstr>GMIC_22A_SCDPT6SN1!SCDPT6SN1_0500000_Range</vt:lpstr>
      <vt:lpstr>GMIC_22A_SCDPT6SN1!SCDPT6SN1_0599999_16</vt:lpstr>
      <vt:lpstr>GMIC_22A_SCDPT6SN1!SCDPT6SN1_0599999_17</vt:lpstr>
      <vt:lpstr>GMIC_22A_SCDPT6SN1!SCDPT6SN1_0599999_18</vt:lpstr>
      <vt:lpstr>GMIC_22A_SCDPT6SN1!SCDPT6SN1_0599999_7</vt:lpstr>
      <vt:lpstr>GMIC_22A_SCDPT6SN1!SCDPT6SN1_0599999_8</vt:lpstr>
      <vt:lpstr>GMIC_22A_SCDPT6SN1!SCDPT6SN1_0599999_9</vt:lpstr>
      <vt:lpstr>GMIC_22A_SCDPT6SN1!SCDPT6SN1_05BEGIN_1</vt:lpstr>
      <vt:lpstr>GMIC_22A_SCDPT6SN1!SCDPT6SN1_05BEGIN_10</vt:lpstr>
      <vt:lpstr>GMIC_22A_SCDPT6SN1!SCDPT6SN1_05BEGIN_11</vt:lpstr>
      <vt:lpstr>GMIC_22A_SCDPT6SN1!SCDPT6SN1_05BEGIN_12</vt:lpstr>
      <vt:lpstr>GMIC_22A_SCDPT6SN1!SCDPT6SN1_05BEGIN_13</vt:lpstr>
      <vt:lpstr>GMIC_22A_SCDPT6SN1!SCDPT6SN1_05BEGIN_14</vt:lpstr>
      <vt:lpstr>GMIC_22A_SCDPT6SN1!SCDPT6SN1_05BEGIN_15</vt:lpstr>
      <vt:lpstr>GMIC_22A_SCDPT6SN1!SCDPT6SN1_05BEGIN_16</vt:lpstr>
      <vt:lpstr>GMIC_22A_SCDPT6SN1!SCDPT6SN1_05BEGIN_17</vt:lpstr>
      <vt:lpstr>GMIC_22A_SCDPT6SN1!SCDPT6SN1_05BEGIN_18</vt:lpstr>
      <vt:lpstr>GMIC_22A_SCDPT6SN1!SCDPT6SN1_05BEGIN_19</vt:lpstr>
      <vt:lpstr>GMIC_22A_SCDPT6SN1!SCDPT6SN1_05BEGIN_2</vt:lpstr>
      <vt:lpstr>GMIC_22A_SCDPT6SN1!SCDPT6SN1_05BEGIN_3</vt:lpstr>
      <vt:lpstr>GMIC_22A_SCDPT6SN1!SCDPT6SN1_05BEGIN_4</vt:lpstr>
      <vt:lpstr>GMIC_22A_SCDPT6SN1!SCDPT6SN1_05BEGIN_5</vt:lpstr>
      <vt:lpstr>GMIC_22A_SCDPT6SN1!SCDPT6SN1_05BEGIN_6</vt:lpstr>
      <vt:lpstr>GMIC_22A_SCDPT6SN1!SCDPT6SN1_05BEGIN_7</vt:lpstr>
      <vt:lpstr>GMIC_22A_SCDPT6SN1!SCDPT6SN1_05BEGIN_8</vt:lpstr>
      <vt:lpstr>GMIC_22A_SCDPT6SN1!SCDPT6SN1_05BEGIN_9</vt:lpstr>
      <vt:lpstr>GMIC_22A_SCDPT6SN1!SCDPT6SN1_05ENDIN_10</vt:lpstr>
      <vt:lpstr>GMIC_22A_SCDPT6SN1!SCDPT6SN1_05ENDIN_11</vt:lpstr>
      <vt:lpstr>GMIC_22A_SCDPT6SN1!SCDPT6SN1_05ENDIN_12</vt:lpstr>
      <vt:lpstr>GMIC_22A_SCDPT6SN1!SCDPT6SN1_05ENDIN_13</vt:lpstr>
      <vt:lpstr>GMIC_22A_SCDPT6SN1!SCDPT6SN1_05ENDIN_14</vt:lpstr>
      <vt:lpstr>GMIC_22A_SCDPT6SN1!SCDPT6SN1_05ENDIN_15</vt:lpstr>
      <vt:lpstr>GMIC_22A_SCDPT6SN1!SCDPT6SN1_05ENDIN_16</vt:lpstr>
      <vt:lpstr>GMIC_22A_SCDPT6SN1!SCDPT6SN1_05ENDIN_17</vt:lpstr>
      <vt:lpstr>GMIC_22A_SCDPT6SN1!SCDPT6SN1_05ENDIN_18</vt:lpstr>
      <vt:lpstr>GMIC_22A_SCDPT6SN1!SCDPT6SN1_05ENDIN_19</vt:lpstr>
      <vt:lpstr>GMIC_22A_SCDPT6SN1!SCDPT6SN1_05ENDIN_2</vt:lpstr>
      <vt:lpstr>GMIC_22A_SCDPT6SN1!SCDPT6SN1_05ENDIN_3</vt:lpstr>
      <vt:lpstr>GMIC_22A_SCDPT6SN1!SCDPT6SN1_05ENDIN_4</vt:lpstr>
      <vt:lpstr>GMIC_22A_SCDPT6SN1!SCDPT6SN1_05ENDIN_5</vt:lpstr>
      <vt:lpstr>GMIC_22A_SCDPT6SN1!SCDPT6SN1_05ENDIN_6</vt:lpstr>
      <vt:lpstr>GMIC_22A_SCDPT6SN1!SCDPT6SN1_05ENDIN_7</vt:lpstr>
      <vt:lpstr>GMIC_22A_SCDPT6SN1!SCDPT6SN1_05ENDIN_8</vt:lpstr>
      <vt:lpstr>GMIC_22A_SCDPT6SN1!SCDPT6SN1_05ENDIN_9</vt:lpstr>
      <vt:lpstr>GMIC_22A_SCDPT6SN1!SCDPT6SN1_0600000_Range</vt:lpstr>
      <vt:lpstr>GMIC_22A_SCDPT6SN1!SCDPT6SN1_0699999_16</vt:lpstr>
      <vt:lpstr>GMIC_22A_SCDPT6SN1!SCDPT6SN1_0699999_17</vt:lpstr>
      <vt:lpstr>GMIC_22A_SCDPT6SN1!SCDPT6SN1_0699999_18</vt:lpstr>
      <vt:lpstr>GMIC_22A_SCDPT6SN1!SCDPT6SN1_0699999_7</vt:lpstr>
      <vt:lpstr>GMIC_22A_SCDPT6SN1!SCDPT6SN1_0699999_8</vt:lpstr>
      <vt:lpstr>GMIC_22A_SCDPT6SN1!SCDPT6SN1_0699999_9</vt:lpstr>
      <vt:lpstr>GMIC_22A_SCDPT6SN1!SCDPT6SN1_06BEGIN_1</vt:lpstr>
      <vt:lpstr>GMIC_22A_SCDPT6SN1!SCDPT6SN1_06BEGIN_10</vt:lpstr>
      <vt:lpstr>GMIC_22A_SCDPT6SN1!SCDPT6SN1_06BEGIN_11</vt:lpstr>
      <vt:lpstr>GMIC_22A_SCDPT6SN1!SCDPT6SN1_06BEGIN_12</vt:lpstr>
      <vt:lpstr>GMIC_22A_SCDPT6SN1!SCDPT6SN1_06BEGIN_13</vt:lpstr>
      <vt:lpstr>GMIC_22A_SCDPT6SN1!SCDPT6SN1_06BEGIN_14</vt:lpstr>
      <vt:lpstr>GMIC_22A_SCDPT6SN1!SCDPT6SN1_06BEGIN_15</vt:lpstr>
      <vt:lpstr>GMIC_22A_SCDPT6SN1!SCDPT6SN1_06BEGIN_16</vt:lpstr>
      <vt:lpstr>GMIC_22A_SCDPT6SN1!SCDPT6SN1_06BEGIN_17</vt:lpstr>
      <vt:lpstr>GMIC_22A_SCDPT6SN1!SCDPT6SN1_06BEGIN_18</vt:lpstr>
      <vt:lpstr>GMIC_22A_SCDPT6SN1!SCDPT6SN1_06BEGIN_19</vt:lpstr>
      <vt:lpstr>GMIC_22A_SCDPT6SN1!SCDPT6SN1_06BEGIN_2</vt:lpstr>
      <vt:lpstr>GMIC_22A_SCDPT6SN1!SCDPT6SN1_06BEGIN_3</vt:lpstr>
      <vt:lpstr>GMIC_22A_SCDPT6SN1!SCDPT6SN1_06BEGIN_4</vt:lpstr>
      <vt:lpstr>GMIC_22A_SCDPT6SN1!SCDPT6SN1_06BEGIN_5</vt:lpstr>
      <vt:lpstr>GMIC_22A_SCDPT6SN1!SCDPT6SN1_06BEGIN_6</vt:lpstr>
      <vt:lpstr>GMIC_22A_SCDPT6SN1!SCDPT6SN1_06BEGIN_7</vt:lpstr>
      <vt:lpstr>GMIC_22A_SCDPT6SN1!SCDPT6SN1_06BEGIN_8</vt:lpstr>
      <vt:lpstr>GMIC_22A_SCDPT6SN1!SCDPT6SN1_06BEGIN_9</vt:lpstr>
      <vt:lpstr>GMIC_22A_SCDPT6SN1!SCDPT6SN1_06ENDIN_10</vt:lpstr>
      <vt:lpstr>GMIC_22A_SCDPT6SN1!SCDPT6SN1_06ENDIN_11</vt:lpstr>
      <vt:lpstr>GMIC_22A_SCDPT6SN1!SCDPT6SN1_06ENDIN_12</vt:lpstr>
      <vt:lpstr>GMIC_22A_SCDPT6SN1!SCDPT6SN1_06ENDIN_13</vt:lpstr>
      <vt:lpstr>GMIC_22A_SCDPT6SN1!SCDPT6SN1_06ENDIN_14</vt:lpstr>
      <vt:lpstr>GMIC_22A_SCDPT6SN1!SCDPT6SN1_06ENDIN_15</vt:lpstr>
      <vt:lpstr>GMIC_22A_SCDPT6SN1!SCDPT6SN1_06ENDIN_16</vt:lpstr>
      <vt:lpstr>GMIC_22A_SCDPT6SN1!SCDPT6SN1_06ENDIN_17</vt:lpstr>
      <vt:lpstr>GMIC_22A_SCDPT6SN1!SCDPT6SN1_06ENDIN_18</vt:lpstr>
      <vt:lpstr>GMIC_22A_SCDPT6SN1!SCDPT6SN1_06ENDIN_19</vt:lpstr>
      <vt:lpstr>GMIC_22A_SCDPT6SN1!SCDPT6SN1_06ENDIN_2</vt:lpstr>
      <vt:lpstr>GMIC_22A_SCDPT6SN1!SCDPT6SN1_06ENDIN_3</vt:lpstr>
      <vt:lpstr>GMIC_22A_SCDPT6SN1!SCDPT6SN1_06ENDIN_4</vt:lpstr>
      <vt:lpstr>GMIC_22A_SCDPT6SN1!SCDPT6SN1_06ENDIN_5</vt:lpstr>
      <vt:lpstr>GMIC_22A_SCDPT6SN1!SCDPT6SN1_06ENDIN_6</vt:lpstr>
      <vt:lpstr>GMIC_22A_SCDPT6SN1!SCDPT6SN1_06ENDIN_7</vt:lpstr>
      <vt:lpstr>GMIC_22A_SCDPT6SN1!SCDPT6SN1_06ENDIN_8</vt:lpstr>
      <vt:lpstr>GMIC_22A_SCDPT6SN1!SCDPT6SN1_06ENDIN_9</vt:lpstr>
      <vt:lpstr>GMIC_22A_SCDPT6SN1!SCDPT6SN1_0700000_Range</vt:lpstr>
      <vt:lpstr>GMIC_22A_SCDPT6SN1!SCDPT6SN1_0799999_16</vt:lpstr>
      <vt:lpstr>GMIC_22A_SCDPT6SN1!SCDPT6SN1_0799999_17</vt:lpstr>
      <vt:lpstr>GMIC_22A_SCDPT6SN1!SCDPT6SN1_0799999_18</vt:lpstr>
      <vt:lpstr>GMIC_22A_SCDPT6SN1!SCDPT6SN1_0799999_7</vt:lpstr>
      <vt:lpstr>GMIC_22A_SCDPT6SN1!SCDPT6SN1_0799999_8</vt:lpstr>
      <vt:lpstr>GMIC_22A_SCDPT6SN1!SCDPT6SN1_0799999_9</vt:lpstr>
      <vt:lpstr>GMIC_22A_SCDPT6SN1!SCDPT6SN1_07BEGIN_1</vt:lpstr>
      <vt:lpstr>GMIC_22A_SCDPT6SN1!SCDPT6SN1_07BEGIN_10</vt:lpstr>
      <vt:lpstr>GMIC_22A_SCDPT6SN1!SCDPT6SN1_07BEGIN_11</vt:lpstr>
      <vt:lpstr>GMIC_22A_SCDPT6SN1!SCDPT6SN1_07BEGIN_12</vt:lpstr>
      <vt:lpstr>GMIC_22A_SCDPT6SN1!SCDPT6SN1_07BEGIN_13</vt:lpstr>
      <vt:lpstr>GMIC_22A_SCDPT6SN1!SCDPT6SN1_07BEGIN_14</vt:lpstr>
      <vt:lpstr>GMIC_22A_SCDPT6SN1!SCDPT6SN1_07BEGIN_15</vt:lpstr>
      <vt:lpstr>GMIC_22A_SCDPT6SN1!SCDPT6SN1_07BEGIN_16</vt:lpstr>
      <vt:lpstr>GMIC_22A_SCDPT6SN1!SCDPT6SN1_07BEGIN_17</vt:lpstr>
      <vt:lpstr>GMIC_22A_SCDPT6SN1!SCDPT6SN1_07BEGIN_18</vt:lpstr>
      <vt:lpstr>GMIC_22A_SCDPT6SN1!SCDPT6SN1_07BEGIN_19</vt:lpstr>
      <vt:lpstr>GMIC_22A_SCDPT6SN1!SCDPT6SN1_07BEGIN_2</vt:lpstr>
      <vt:lpstr>GMIC_22A_SCDPT6SN1!SCDPT6SN1_07BEGIN_3</vt:lpstr>
      <vt:lpstr>GMIC_22A_SCDPT6SN1!SCDPT6SN1_07BEGIN_4</vt:lpstr>
      <vt:lpstr>GMIC_22A_SCDPT6SN1!SCDPT6SN1_07BEGIN_5</vt:lpstr>
      <vt:lpstr>GMIC_22A_SCDPT6SN1!SCDPT6SN1_07BEGIN_6</vt:lpstr>
      <vt:lpstr>GMIC_22A_SCDPT6SN1!SCDPT6SN1_07BEGIN_7</vt:lpstr>
      <vt:lpstr>GMIC_22A_SCDPT6SN1!SCDPT6SN1_07BEGIN_8</vt:lpstr>
      <vt:lpstr>GMIC_22A_SCDPT6SN1!SCDPT6SN1_07BEGIN_9</vt:lpstr>
      <vt:lpstr>GMIC_22A_SCDPT6SN1!SCDPT6SN1_07ENDIN_10</vt:lpstr>
      <vt:lpstr>GMIC_22A_SCDPT6SN1!SCDPT6SN1_07ENDIN_11</vt:lpstr>
      <vt:lpstr>GMIC_22A_SCDPT6SN1!SCDPT6SN1_07ENDIN_12</vt:lpstr>
      <vt:lpstr>GMIC_22A_SCDPT6SN1!SCDPT6SN1_07ENDIN_13</vt:lpstr>
      <vt:lpstr>GMIC_22A_SCDPT6SN1!SCDPT6SN1_07ENDIN_14</vt:lpstr>
      <vt:lpstr>GMIC_22A_SCDPT6SN1!SCDPT6SN1_07ENDIN_15</vt:lpstr>
      <vt:lpstr>GMIC_22A_SCDPT6SN1!SCDPT6SN1_07ENDIN_16</vt:lpstr>
      <vt:lpstr>GMIC_22A_SCDPT6SN1!SCDPT6SN1_07ENDIN_17</vt:lpstr>
      <vt:lpstr>GMIC_22A_SCDPT6SN1!SCDPT6SN1_07ENDIN_18</vt:lpstr>
      <vt:lpstr>GMIC_22A_SCDPT6SN1!SCDPT6SN1_07ENDIN_19</vt:lpstr>
      <vt:lpstr>GMIC_22A_SCDPT6SN1!SCDPT6SN1_07ENDIN_2</vt:lpstr>
      <vt:lpstr>GMIC_22A_SCDPT6SN1!SCDPT6SN1_07ENDIN_3</vt:lpstr>
      <vt:lpstr>GMIC_22A_SCDPT6SN1!SCDPT6SN1_07ENDIN_4</vt:lpstr>
      <vt:lpstr>GMIC_22A_SCDPT6SN1!SCDPT6SN1_07ENDIN_5</vt:lpstr>
      <vt:lpstr>GMIC_22A_SCDPT6SN1!SCDPT6SN1_07ENDIN_6</vt:lpstr>
      <vt:lpstr>GMIC_22A_SCDPT6SN1!SCDPT6SN1_07ENDIN_7</vt:lpstr>
      <vt:lpstr>GMIC_22A_SCDPT6SN1!SCDPT6SN1_07ENDIN_8</vt:lpstr>
      <vt:lpstr>GMIC_22A_SCDPT6SN1!SCDPT6SN1_07ENDIN_9</vt:lpstr>
      <vt:lpstr>GMIC_22A_SCDPT6SN1!SCDPT6SN1_0800000_Range</vt:lpstr>
      <vt:lpstr>GMIC_22A_SCDPT6SN1!SCDPT6SN1_0899999_16</vt:lpstr>
      <vt:lpstr>GMIC_22A_SCDPT6SN1!SCDPT6SN1_0899999_17</vt:lpstr>
      <vt:lpstr>GMIC_22A_SCDPT6SN1!SCDPT6SN1_0899999_18</vt:lpstr>
      <vt:lpstr>GMIC_22A_SCDPT6SN1!SCDPT6SN1_0899999_7</vt:lpstr>
      <vt:lpstr>GMIC_22A_SCDPT6SN1!SCDPT6SN1_0899999_8</vt:lpstr>
      <vt:lpstr>GMIC_22A_SCDPT6SN1!SCDPT6SN1_0899999_9</vt:lpstr>
      <vt:lpstr>GMIC_22A_SCDPT6SN1!SCDPT6SN1_08BEGIN_1</vt:lpstr>
      <vt:lpstr>GMIC_22A_SCDPT6SN1!SCDPT6SN1_08BEGIN_10</vt:lpstr>
      <vt:lpstr>GMIC_22A_SCDPT6SN1!SCDPT6SN1_08BEGIN_11</vt:lpstr>
      <vt:lpstr>GMIC_22A_SCDPT6SN1!SCDPT6SN1_08BEGIN_12</vt:lpstr>
      <vt:lpstr>GMIC_22A_SCDPT6SN1!SCDPT6SN1_08BEGIN_13</vt:lpstr>
      <vt:lpstr>GMIC_22A_SCDPT6SN1!SCDPT6SN1_08BEGIN_14</vt:lpstr>
      <vt:lpstr>GMIC_22A_SCDPT6SN1!SCDPT6SN1_08BEGIN_15</vt:lpstr>
      <vt:lpstr>GMIC_22A_SCDPT6SN1!SCDPT6SN1_08BEGIN_16</vt:lpstr>
      <vt:lpstr>GMIC_22A_SCDPT6SN1!SCDPT6SN1_08BEGIN_17</vt:lpstr>
      <vt:lpstr>GMIC_22A_SCDPT6SN1!SCDPT6SN1_08BEGIN_18</vt:lpstr>
      <vt:lpstr>GMIC_22A_SCDPT6SN1!SCDPT6SN1_08BEGIN_19</vt:lpstr>
      <vt:lpstr>GMIC_22A_SCDPT6SN1!SCDPT6SN1_08BEGIN_2</vt:lpstr>
      <vt:lpstr>GMIC_22A_SCDPT6SN1!SCDPT6SN1_08BEGIN_3</vt:lpstr>
      <vt:lpstr>GMIC_22A_SCDPT6SN1!SCDPT6SN1_08BEGIN_4</vt:lpstr>
      <vt:lpstr>GMIC_22A_SCDPT6SN1!SCDPT6SN1_08BEGIN_5</vt:lpstr>
      <vt:lpstr>GMIC_22A_SCDPT6SN1!SCDPT6SN1_08BEGIN_6</vt:lpstr>
      <vt:lpstr>GMIC_22A_SCDPT6SN1!SCDPT6SN1_08BEGIN_7</vt:lpstr>
      <vt:lpstr>GMIC_22A_SCDPT6SN1!SCDPT6SN1_08BEGIN_8</vt:lpstr>
      <vt:lpstr>GMIC_22A_SCDPT6SN1!SCDPT6SN1_08BEGIN_9</vt:lpstr>
      <vt:lpstr>GMIC_22A_SCDPT6SN1!SCDPT6SN1_08ENDIN_10</vt:lpstr>
      <vt:lpstr>GMIC_22A_SCDPT6SN1!SCDPT6SN1_08ENDIN_11</vt:lpstr>
      <vt:lpstr>GMIC_22A_SCDPT6SN1!SCDPT6SN1_08ENDIN_12</vt:lpstr>
      <vt:lpstr>GMIC_22A_SCDPT6SN1!SCDPT6SN1_08ENDIN_13</vt:lpstr>
      <vt:lpstr>GMIC_22A_SCDPT6SN1!SCDPT6SN1_08ENDIN_14</vt:lpstr>
      <vt:lpstr>GMIC_22A_SCDPT6SN1!SCDPT6SN1_08ENDIN_15</vt:lpstr>
      <vt:lpstr>GMIC_22A_SCDPT6SN1!SCDPT6SN1_08ENDIN_16</vt:lpstr>
      <vt:lpstr>GMIC_22A_SCDPT6SN1!SCDPT6SN1_08ENDIN_17</vt:lpstr>
      <vt:lpstr>GMIC_22A_SCDPT6SN1!SCDPT6SN1_08ENDIN_18</vt:lpstr>
      <vt:lpstr>GMIC_22A_SCDPT6SN1!SCDPT6SN1_08ENDIN_19</vt:lpstr>
      <vt:lpstr>GMIC_22A_SCDPT6SN1!SCDPT6SN1_08ENDIN_2</vt:lpstr>
      <vt:lpstr>GMIC_22A_SCDPT6SN1!SCDPT6SN1_08ENDIN_3</vt:lpstr>
      <vt:lpstr>GMIC_22A_SCDPT6SN1!SCDPT6SN1_08ENDIN_4</vt:lpstr>
      <vt:lpstr>GMIC_22A_SCDPT6SN1!SCDPT6SN1_08ENDIN_5</vt:lpstr>
      <vt:lpstr>GMIC_22A_SCDPT6SN1!SCDPT6SN1_08ENDIN_6</vt:lpstr>
      <vt:lpstr>GMIC_22A_SCDPT6SN1!SCDPT6SN1_08ENDIN_7</vt:lpstr>
      <vt:lpstr>GMIC_22A_SCDPT6SN1!SCDPT6SN1_08ENDIN_8</vt:lpstr>
      <vt:lpstr>GMIC_22A_SCDPT6SN1!SCDPT6SN1_08ENDIN_9</vt:lpstr>
      <vt:lpstr>GMIC_22A_SCDPT6SN1!SCDPT6SN1_0999999_16</vt:lpstr>
      <vt:lpstr>GMIC_22A_SCDPT6SN1!SCDPT6SN1_0999999_17</vt:lpstr>
      <vt:lpstr>GMIC_22A_SCDPT6SN1!SCDPT6SN1_0999999_18</vt:lpstr>
      <vt:lpstr>GMIC_22A_SCDPT6SN1!SCDPT6SN1_0999999_7</vt:lpstr>
      <vt:lpstr>GMIC_22A_SCDPT6SN1!SCDPT6SN1_0999999_8</vt:lpstr>
      <vt:lpstr>GMIC_22A_SCDPT6SN1!SCDPT6SN1_0999999_9</vt:lpstr>
      <vt:lpstr>GMIC_22A_SCDPT6SN1!SCDPT6SN1_1000000_Range</vt:lpstr>
      <vt:lpstr>GMIC_22A_SCDPT6SN1!SCDPT6SN1_1099999_16</vt:lpstr>
      <vt:lpstr>GMIC_22A_SCDPT6SN1!SCDPT6SN1_1099999_17</vt:lpstr>
      <vt:lpstr>GMIC_22A_SCDPT6SN1!SCDPT6SN1_1099999_18</vt:lpstr>
      <vt:lpstr>GMIC_22A_SCDPT6SN1!SCDPT6SN1_1099999_7</vt:lpstr>
      <vt:lpstr>GMIC_22A_SCDPT6SN1!SCDPT6SN1_1099999_8</vt:lpstr>
      <vt:lpstr>GMIC_22A_SCDPT6SN1!SCDPT6SN1_1099999_9</vt:lpstr>
      <vt:lpstr>GMIC_22A_SCDPT6SN1!SCDPT6SN1_10BEGIN_1</vt:lpstr>
      <vt:lpstr>GMIC_22A_SCDPT6SN1!SCDPT6SN1_10BEGIN_10</vt:lpstr>
      <vt:lpstr>GMIC_22A_SCDPT6SN1!SCDPT6SN1_10BEGIN_11</vt:lpstr>
      <vt:lpstr>GMIC_22A_SCDPT6SN1!SCDPT6SN1_10BEGIN_12</vt:lpstr>
      <vt:lpstr>GMIC_22A_SCDPT6SN1!SCDPT6SN1_10BEGIN_13</vt:lpstr>
      <vt:lpstr>GMIC_22A_SCDPT6SN1!SCDPT6SN1_10BEGIN_14</vt:lpstr>
      <vt:lpstr>GMIC_22A_SCDPT6SN1!SCDPT6SN1_10BEGIN_15</vt:lpstr>
      <vt:lpstr>GMIC_22A_SCDPT6SN1!SCDPT6SN1_10BEGIN_16</vt:lpstr>
      <vt:lpstr>GMIC_22A_SCDPT6SN1!SCDPT6SN1_10BEGIN_17</vt:lpstr>
      <vt:lpstr>GMIC_22A_SCDPT6SN1!SCDPT6SN1_10BEGIN_18</vt:lpstr>
      <vt:lpstr>GMIC_22A_SCDPT6SN1!SCDPT6SN1_10BEGIN_19</vt:lpstr>
      <vt:lpstr>GMIC_22A_SCDPT6SN1!SCDPT6SN1_10BEGIN_2</vt:lpstr>
      <vt:lpstr>GMIC_22A_SCDPT6SN1!SCDPT6SN1_10BEGIN_3</vt:lpstr>
      <vt:lpstr>GMIC_22A_SCDPT6SN1!SCDPT6SN1_10BEGIN_4</vt:lpstr>
      <vt:lpstr>GMIC_22A_SCDPT6SN1!SCDPT6SN1_10BEGIN_5</vt:lpstr>
      <vt:lpstr>GMIC_22A_SCDPT6SN1!SCDPT6SN1_10BEGIN_6</vt:lpstr>
      <vt:lpstr>GMIC_22A_SCDPT6SN1!SCDPT6SN1_10BEGIN_7</vt:lpstr>
      <vt:lpstr>GMIC_22A_SCDPT6SN1!SCDPT6SN1_10BEGIN_8</vt:lpstr>
      <vt:lpstr>GMIC_22A_SCDPT6SN1!SCDPT6SN1_10BEGIN_9</vt:lpstr>
      <vt:lpstr>GMIC_22A_SCDPT6SN1!SCDPT6SN1_10ENDIN_10</vt:lpstr>
      <vt:lpstr>GMIC_22A_SCDPT6SN1!SCDPT6SN1_10ENDIN_11</vt:lpstr>
      <vt:lpstr>GMIC_22A_SCDPT6SN1!SCDPT6SN1_10ENDIN_12</vt:lpstr>
      <vt:lpstr>GMIC_22A_SCDPT6SN1!SCDPT6SN1_10ENDIN_13</vt:lpstr>
      <vt:lpstr>GMIC_22A_SCDPT6SN1!SCDPT6SN1_10ENDIN_14</vt:lpstr>
      <vt:lpstr>GMIC_22A_SCDPT6SN1!SCDPT6SN1_10ENDIN_15</vt:lpstr>
      <vt:lpstr>GMIC_22A_SCDPT6SN1!SCDPT6SN1_10ENDIN_16</vt:lpstr>
      <vt:lpstr>GMIC_22A_SCDPT6SN1!SCDPT6SN1_10ENDIN_17</vt:lpstr>
      <vt:lpstr>GMIC_22A_SCDPT6SN1!SCDPT6SN1_10ENDIN_18</vt:lpstr>
      <vt:lpstr>GMIC_22A_SCDPT6SN1!SCDPT6SN1_10ENDIN_19</vt:lpstr>
      <vt:lpstr>GMIC_22A_SCDPT6SN1!SCDPT6SN1_10ENDIN_2</vt:lpstr>
      <vt:lpstr>GMIC_22A_SCDPT6SN1!SCDPT6SN1_10ENDIN_3</vt:lpstr>
      <vt:lpstr>GMIC_22A_SCDPT6SN1!SCDPT6SN1_10ENDIN_4</vt:lpstr>
      <vt:lpstr>GMIC_22A_SCDPT6SN1!SCDPT6SN1_10ENDIN_5</vt:lpstr>
      <vt:lpstr>GMIC_22A_SCDPT6SN1!SCDPT6SN1_10ENDIN_6</vt:lpstr>
      <vt:lpstr>GMIC_22A_SCDPT6SN1!SCDPT6SN1_10ENDIN_7</vt:lpstr>
      <vt:lpstr>GMIC_22A_SCDPT6SN1!SCDPT6SN1_10ENDIN_8</vt:lpstr>
      <vt:lpstr>GMIC_22A_SCDPT6SN1!SCDPT6SN1_10ENDIN_9</vt:lpstr>
      <vt:lpstr>GMIC_22A_SCDPT6SN1!SCDPT6SN1_1100000_Range</vt:lpstr>
      <vt:lpstr>GMIC_22A_SCDPT6SN1!SCDPT6SN1_1199999_16</vt:lpstr>
      <vt:lpstr>GMIC_22A_SCDPT6SN1!SCDPT6SN1_1199999_17</vt:lpstr>
      <vt:lpstr>GMIC_22A_SCDPT6SN1!SCDPT6SN1_1199999_18</vt:lpstr>
      <vt:lpstr>GMIC_22A_SCDPT6SN1!SCDPT6SN1_1199999_7</vt:lpstr>
      <vt:lpstr>GMIC_22A_SCDPT6SN1!SCDPT6SN1_1199999_8</vt:lpstr>
      <vt:lpstr>GMIC_22A_SCDPT6SN1!SCDPT6SN1_1199999_9</vt:lpstr>
      <vt:lpstr>GMIC_22A_SCDPT6SN1!SCDPT6SN1_11BEGIN_1</vt:lpstr>
      <vt:lpstr>GMIC_22A_SCDPT6SN1!SCDPT6SN1_11BEGIN_10</vt:lpstr>
      <vt:lpstr>GMIC_22A_SCDPT6SN1!SCDPT6SN1_11BEGIN_11</vt:lpstr>
      <vt:lpstr>GMIC_22A_SCDPT6SN1!SCDPT6SN1_11BEGIN_12</vt:lpstr>
      <vt:lpstr>GMIC_22A_SCDPT6SN1!SCDPT6SN1_11BEGIN_13</vt:lpstr>
      <vt:lpstr>GMIC_22A_SCDPT6SN1!SCDPT6SN1_11BEGIN_14</vt:lpstr>
      <vt:lpstr>GMIC_22A_SCDPT6SN1!SCDPT6SN1_11BEGIN_15</vt:lpstr>
      <vt:lpstr>GMIC_22A_SCDPT6SN1!SCDPT6SN1_11BEGIN_16</vt:lpstr>
      <vt:lpstr>GMIC_22A_SCDPT6SN1!SCDPT6SN1_11BEGIN_17</vt:lpstr>
      <vt:lpstr>GMIC_22A_SCDPT6SN1!SCDPT6SN1_11BEGIN_18</vt:lpstr>
      <vt:lpstr>GMIC_22A_SCDPT6SN1!SCDPT6SN1_11BEGIN_19</vt:lpstr>
      <vt:lpstr>GMIC_22A_SCDPT6SN1!SCDPT6SN1_11BEGIN_2</vt:lpstr>
      <vt:lpstr>GMIC_22A_SCDPT6SN1!SCDPT6SN1_11BEGIN_3</vt:lpstr>
      <vt:lpstr>GMIC_22A_SCDPT6SN1!SCDPT6SN1_11BEGIN_4</vt:lpstr>
      <vt:lpstr>GMIC_22A_SCDPT6SN1!SCDPT6SN1_11BEGIN_5</vt:lpstr>
      <vt:lpstr>GMIC_22A_SCDPT6SN1!SCDPT6SN1_11BEGIN_6</vt:lpstr>
      <vt:lpstr>GMIC_22A_SCDPT6SN1!SCDPT6SN1_11BEGIN_7</vt:lpstr>
      <vt:lpstr>GMIC_22A_SCDPT6SN1!SCDPT6SN1_11BEGIN_8</vt:lpstr>
      <vt:lpstr>GMIC_22A_SCDPT6SN1!SCDPT6SN1_11BEGIN_9</vt:lpstr>
      <vt:lpstr>GMIC_22A_SCDPT6SN1!SCDPT6SN1_11ENDIN_10</vt:lpstr>
      <vt:lpstr>GMIC_22A_SCDPT6SN1!SCDPT6SN1_11ENDIN_11</vt:lpstr>
      <vt:lpstr>GMIC_22A_SCDPT6SN1!SCDPT6SN1_11ENDIN_12</vt:lpstr>
      <vt:lpstr>GMIC_22A_SCDPT6SN1!SCDPT6SN1_11ENDIN_13</vt:lpstr>
      <vt:lpstr>GMIC_22A_SCDPT6SN1!SCDPT6SN1_11ENDIN_14</vt:lpstr>
      <vt:lpstr>GMIC_22A_SCDPT6SN1!SCDPT6SN1_11ENDIN_15</vt:lpstr>
      <vt:lpstr>GMIC_22A_SCDPT6SN1!SCDPT6SN1_11ENDIN_16</vt:lpstr>
      <vt:lpstr>GMIC_22A_SCDPT6SN1!SCDPT6SN1_11ENDIN_17</vt:lpstr>
      <vt:lpstr>GMIC_22A_SCDPT6SN1!SCDPT6SN1_11ENDIN_18</vt:lpstr>
      <vt:lpstr>GMIC_22A_SCDPT6SN1!SCDPT6SN1_11ENDIN_19</vt:lpstr>
      <vt:lpstr>GMIC_22A_SCDPT6SN1!SCDPT6SN1_11ENDIN_2</vt:lpstr>
      <vt:lpstr>GMIC_22A_SCDPT6SN1!SCDPT6SN1_11ENDIN_3</vt:lpstr>
      <vt:lpstr>GMIC_22A_SCDPT6SN1!SCDPT6SN1_11ENDIN_4</vt:lpstr>
      <vt:lpstr>GMIC_22A_SCDPT6SN1!SCDPT6SN1_11ENDIN_5</vt:lpstr>
      <vt:lpstr>GMIC_22A_SCDPT6SN1!SCDPT6SN1_11ENDIN_6</vt:lpstr>
      <vt:lpstr>GMIC_22A_SCDPT6SN1!SCDPT6SN1_11ENDIN_7</vt:lpstr>
      <vt:lpstr>GMIC_22A_SCDPT6SN1!SCDPT6SN1_11ENDIN_8</vt:lpstr>
      <vt:lpstr>GMIC_22A_SCDPT6SN1!SCDPT6SN1_11ENDIN_9</vt:lpstr>
      <vt:lpstr>GMIC_22A_SCDPT6SN1!SCDPT6SN1_1200000_Range</vt:lpstr>
      <vt:lpstr>GMIC_22A_SCDPT6SN1!SCDPT6SN1_1299999_16</vt:lpstr>
      <vt:lpstr>GMIC_22A_SCDPT6SN1!SCDPT6SN1_1299999_17</vt:lpstr>
      <vt:lpstr>GMIC_22A_SCDPT6SN1!SCDPT6SN1_1299999_18</vt:lpstr>
      <vt:lpstr>GMIC_22A_SCDPT6SN1!SCDPT6SN1_1299999_7</vt:lpstr>
      <vt:lpstr>GMIC_22A_SCDPT6SN1!SCDPT6SN1_1299999_8</vt:lpstr>
      <vt:lpstr>GMIC_22A_SCDPT6SN1!SCDPT6SN1_1299999_9</vt:lpstr>
      <vt:lpstr>GMIC_22A_SCDPT6SN1!SCDPT6SN1_12BEGIN_1</vt:lpstr>
      <vt:lpstr>GMIC_22A_SCDPT6SN1!SCDPT6SN1_12BEGIN_10</vt:lpstr>
      <vt:lpstr>GMIC_22A_SCDPT6SN1!SCDPT6SN1_12BEGIN_11</vt:lpstr>
      <vt:lpstr>GMIC_22A_SCDPT6SN1!SCDPT6SN1_12BEGIN_12</vt:lpstr>
      <vt:lpstr>GMIC_22A_SCDPT6SN1!SCDPT6SN1_12BEGIN_13</vt:lpstr>
      <vt:lpstr>GMIC_22A_SCDPT6SN1!SCDPT6SN1_12BEGIN_14</vt:lpstr>
      <vt:lpstr>GMIC_22A_SCDPT6SN1!SCDPT6SN1_12BEGIN_15</vt:lpstr>
      <vt:lpstr>GMIC_22A_SCDPT6SN1!SCDPT6SN1_12BEGIN_16</vt:lpstr>
      <vt:lpstr>GMIC_22A_SCDPT6SN1!SCDPT6SN1_12BEGIN_17</vt:lpstr>
      <vt:lpstr>GMIC_22A_SCDPT6SN1!SCDPT6SN1_12BEGIN_18</vt:lpstr>
      <vt:lpstr>GMIC_22A_SCDPT6SN1!SCDPT6SN1_12BEGIN_19</vt:lpstr>
      <vt:lpstr>GMIC_22A_SCDPT6SN1!SCDPT6SN1_12BEGIN_2</vt:lpstr>
      <vt:lpstr>GMIC_22A_SCDPT6SN1!SCDPT6SN1_12BEGIN_3</vt:lpstr>
      <vt:lpstr>GMIC_22A_SCDPT6SN1!SCDPT6SN1_12BEGIN_4</vt:lpstr>
      <vt:lpstr>GMIC_22A_SCDPT6SN1!SCDPT6SN1_12BEGIN_5</vt:lpstr>
      <vt:lpstr>GMIC_22A_SCDPT6SN1!SCDPT6SN1_12BEGIN_6</vt:lpstr>
      <vt:lpstr>GMIC_22A_SCDPT6SN1!SCDPT6SN1_12BEGIN_7</vt:lpstr>
      <vt:lpstr>GMIC_22A_SCDPT6SN1!SCDPT6SN1_12BEGIN_8</vt:lpstr>
      <vt:lpstr>GMIC_22A_SCDPT6SN1!SCDPT6SN1_12BEGIN_9</vt:lpstr>
      <vt:lpstr>GMIC_22A_SCDPT6SN1!SCDPT6SN1_12ENDIN_10</vt:lpstr>
      <vt:lpstr>GMIC_22A_SCDPT6SN1!SCDPT6SN1_12ENDIN_11</vt:lpstr>
      <vt:lpstr>GMIC_22A_SCDPT6SN1!SCDPT6SN1_12ENDIN_12</vt:lpstr>
      <vt:lpstr>GMIC_22A_SCDPT6SN1!SCDPT6SN1_12ENDIN_13</vt:lpstr>
      <vt:lpstr>GMIC_22A_SCDPT6SN1!SCDPT6SN1_12ENDIN_14</vt:lpstr>
      <vt:lpstr>GMIC_22A_SCDPT6SN1!SCDPT6SN1_12ENDIN_15</vt:lpstr>
      <vt:lpstr>GMIC_22A_SCDPT6SN1!SCDPT6SN1_12ENDIN_16</vt:lpstr>
      <vt:lpstr>GMIC_22A_SCDPT6SN1!SCDPT6SN1_12ENDIN_17</vt:lpstr>
      <vt:lpstr>GMIC_22A_SCDPT6SN1!SCDPT6SN1_12ENDIN_18</vt:lpstr>
      <vt:lpstr>GMIC_22A_SCDPT6SN1!SCDPT6SN1_12ENDIN_19</vt:lpstr>
      <vt:lpstr>GMIC_22A_SCDPT6SN1!SCDPT6SN1_12ENDIN_2</vt:lpstr>
      <vt:lpstr>GMIC_22A_SCDPT6SN1!SCDPT6SN1_12ENDIN_3</vt:lpstr>
      <vt:lpstr>GMIC_22A_SCDPT6SN1!SCDPT6SN1_12ENDIN_4</vt:lpstr>
      <vt:lpstr>GMIC_22A_SCDPT6SN1!SCDPT6SN1_12ENDIN_5</vt:lpstr>
      <vt:lpstr>GMIC_22A_SCDPT6SN1!SCDPT6SN1_12ENDIN_6</vt:lpstr>
      <vt:lpstr>GMIC_22A_SCDPT6SN1!SCDPT6SN1_12ENDIN_7</vt:lpstr>
      <vt:lpstr>GMIC_22A_SCDPT6SN1!SCDPT6SN1_12ENDIN_8</vt:lpstr>
      <vt:lpstr>GMIC_22A_SCDPT6SN1!SCDPT6SN1_12ENDIN_9</vt:lpstr>
      <vt:lpstr>GMIC_22A_SCDPT6SN1!SCDPT6SN1_1300000_Range</vt:lpstr>
      <vt:lpstr>GMIC_22A_SCDPT6SN1!SCDPT6SN1_1399999_16</vt:lpstr>
      <vt:lpstr>GMIC_22A_SCDPT6SN1!SCDPT6SN1_1399999_17</vt:lpstr>
      <vt:lpstr>GMIC_22A_SCDPT6SN1!SCDPT6SN1_1399999_18</vt:lpstr>
      <vt:lpstr>GMIC_22A_SCDPT6SN1!SCDPT6SN1_1399999_7</vt:lpstr>
      <vt:lpstr>GMIC_22A_SCDPT6SN1!SCDPT6SN1_1399999_8</vt:lpstr>
      <vt:lpstr>GMIC_22A_SCDPT6SN1!SCDPT6SN1_1399999_9</vt:lpstr>
      <vt:lpstr>GMIC_22A_SCDPT6SN1!SCDPT6SN1_13BEGIN_1</vt:lpstr>
      <vt:lpstr>GMIC_22A_SCDPT6SN1!SCDPT6SN1_13BEGIN_10</vt:lpstr>
      <vt:lpstr>GMIC_22A_SCDPT6SN1!SCDPT6SN1_13BEGIN_11</vt:lpstr>
      <vt:lpstr>GMIC_22A_SCDPT6SN1!SCDPT6SN1_13BEGIN_12</vt:lpstr>
      <vt:lpstr>GMIC_22A_SCDPT6SN1!SCDPT6SN1_13BEGIN_13</vt:lpstr>
      <vt:lpstr>GMIC_22A_SCDPT6SN1!SCDPT6SN1_13BEGIN_14</vt:lpstr>
      <vt:lpstr>GMIC_22A_SCDPT6SN1!SCDPT6SN1_13BEGIN_15</vt:lpstr>
      <vt:lpstr>GMIC_22A_SCDPT6SN1!SCDPT6SN1_13BEGIN_16</vt:lpstr>
      <vt:lpstr>GMIC_22A_SCDPT6SN1!SCDPT6SN1_13BEGIN_17</vt:lpstr>
      <vt:lpstr>GMIC_22A_SCDPT6SN1!SCDPT6SN1_13BEGIN_18</vt:lpstr>
      <vt:lpstr>GMIC_22A_SCDPT6SN1!SCDPT6SN1_13BEGIN_19</vt:lpstr>
      <vt:lpstr>GMIC_22A_SCDPT6SN1!SCDPT6SN1_13BEGIN_2</vt:lpstr>
      <vt:lpstr>GMIC_22A_SCDPT6SN1!SCDPT6SN1_13BEGIN_3</vt:lpstr>
      <vt:lpstr>GMIC_22A_SCDPT6SN1!SCDPT6SN1_13BEGIN_4</vt:lpstr>
      <vt:lpstr>GMIC_22A_SCDPT6SN1!SCDPT6SN1_13BEGIN_5</vt:lpstr>
      <vt:lpstr>GMIC_22A_SCDPT6SN1!SCDPT6SN1_13BEGIN_6</vt:lpstr>
      <vt:lpstr>GMIC_22A_SCDPT6SN1!SCDPT6SN1_13BEGIN_7</vt:lpstr>
      <vt:lpstr>GMIC_22A_SCDPT6SN1!SCDPT6SN1_13BEGIN_8</vt:lpstr>
      <vt:lpstr>GMIC_22A_SCDPT6SN1!SCDPT6SN1_13BEGIN_9</vt:lpstr>
      <vt:lpstr>GMIC_22A_SCDPT6SN1!SCDPT6SN1_13ENDIN_10</vt:lpstr>
      <vt:lpstr>GMIC_22A_SCDPT6SN1!SCDPT6SN1_13ENDIN_11</vt:lpstr>
      <vt:lpstr>GMIC_22A_SCDPT6SN1!SCDPT6SN1_13ENDIN_12</vt:lpstr>
      <vt:lpstr>GMIC_22A_SCDPT6SN1!SCDPT6SN1_13ENDIN_13</vt:lpstr>
      <vt:lpstr>GMIC_22A_SCDPT6SN1!SCDPT6SN1_13ENDIN_14</vt:lpstr>
      <vt:lpstr>GMIC_22A_SCDPT6SN1!SCDPT6SN1_13ENDIN_15</vt:lpstr>
      <vt:lpstr>GMIC_22A_SCDPT6SN1!SCDPT6SN1_13ENDIN_16</vt:lpstr>
      <vt:lpstr>GMIC_22A_SCDPT6SN1!SCDPT6SN1_13ENDIN_17</vt:lpstr>
      <vt:lpstr>GMIC_22A_SCDPT6SN1!SCDPT6SN1_13ENDIN_18</vt:lpstr>
      <vt:lpstr>GMIC_22A_SCDPT6SN1!SCDPT6SN1_13ENDIN_19</vt:lpstr>
      <vt:lpstr>GMIC_22A_SCDPT6SN1!SCDPT6SN1_13ENDIN_2</vt:lpstr>
      <vt:lpstr>GMIC_22A_SCDPT6SN1!SCDPT6SN1_13ENDIN_3</vt:lpstr>
      <vt:lpstr>GMIC_22A_SCDPT6SN1!SCDPT6SN1_13ENDIN_4</vt:lpstr>
      <vt:lpstr>GMIC_22A_SCDPT6SN1!SCDPT6SN1_13ENDIN_5</vt:lpstr>
      <vt:lpstr>GMIC_22A_SCDPT6SN1!SCDPT6SN1_13ENDIN_6</vt:lpstr>
      <vt:lpstr>GMIC_22A_SCDPT6SN1!SCDPT6SN1_13ENDIN_7</vt:lpstr>
      <vt:lpstr>GMIC_22A_SCDPT6SN1!SCDPT6SN1_13ENDIN_8</vt:lpstr>
      <vt:lpstr>GMIC_22A_SCDPT6SN1!SCDPT6SN1_13ENDIN_9</vt:lpstr>
      <vt:lpstr>GMIC_22A_SCDPT6SN1!SCDPT6SN1_1400000_Range</vt:lpstr>
      <vt:lpstr>GMIC_22A_SCDPT6SN1!SCDPT6SN1_1499999_16</vt:lpstr>
      <vt:lpstr>GMIC_22A_SCDPT6SN1!SCDPT6SN1_1499999_17</vt:lpstr>
      <vt:lpstr>GMIC_22A_SCDPT6SN1!SCDPT6SN1_1499999_18</vt:lpstr>
      <vt:lpstr>GMIC_22A_SCDPT6SN1!SCDPT6SN1_1499999_7</vt:lpstr>
      <vt:lpstr>GMIC_22A_SCDPT6SN1!SCDPT6SN1_1499999_8</vt:lpstr>
      <vt:lpstr>GMIC_22A_SCDPT6SN1!SCDPT6SN1_1499999_9</vt:lpstr>
      <vt:lpstr>GMIC_22A_SCDPT6SN1!SCDPT6SN1_14BEGIN_1</vt:lpstr>
      <vt:lpstr>GMIC_22A_SCDPT6SN1!SCDPT6SN1_14BEGIN_10</vt:lpstr>
      <vt:lpstr>GMIC_22A_SCDPT6SN1!SCDPT6SN1_14BEGIN_11</vt:lpstr>
      <vt:lpstr>GMIC_22A_SCDPT6SN1!SCDPT6SN1_14BEGIN_12</vt:lpstr>
      <vt:lpstr>GMIC_22A_SCDPT6SN1!SCDPT6SN1_14BEGIN_13</vt:lpstr>
      <vt:lpstr>GMIC_22A_SCDPT6SN1!SCDPT6SN1_14BEGIN_14</vt:lpstr>
      <vt:lpstr>GMIC_22A_SCDPT6SN1!SCDPT6SN1_14BEGIN_15</vt:lpstr>
      <vt:lpstr>GMIC_22A_SCDPT6SN1!SCDPT6SN1_14BEGIN_16</vt:lpstr>
      <vt:lpstr>GMIC_22A_SCDPT6SN1!SCDPT6SN1_14BEGIN_17</vt:lpstr>
      <vt:lpstr>GMIC_22A_SCDPT6SN1!SCDPT6SN1_14BEGIN_18</vt:lpstr>
      <vt:lpstr>GMIC_22A_SCDPT6SN1!SCDPT6SN1_14BEGIN_19</vt:lpstr>
      <vt:lpstr>GMIC_22A_SCDPT6SN1!SCDPT6SN1_14BEGIN_2</vt:lpstr>
      <vt:lpstr>GMIC_22A_SCDPT6SN1!SCDPT6SN1_14BEGIN_3</vt:lpstr>
      <vt:lpstr>GMIC_22A_SCDPT6SN1!SCDPT6SN1_14BEGIN_4</vt:lpstr>
      <vt:lpstr>GMIC_22A_SCDPT6SN1!SCDPT6SN1_14BEGIN_5</vt:lpstr>
      <vt:lpstr>GMIC_22A_SCDPT6SN1!SCDPT6SN1_14BEGIN_6</vt:lpstr>
      <vt:lpstr>GMIC_22A_SCDPT6SN1!SCDPT6SN1_14BEGIN_7</vt:lpstr>
      <vt:lpstr>GMIC_22A_SCDPT6SN1!SCDPT6SN1_14BEGIN_8</vt:lpstr>
      <vt:lpstr>GMIC_22A_SCDPT6SN1!SCDPT6SN1_14BEGIN_9</vt:lpstr>
      <vt:lpstr>GMIC_22A_SCDPT6SN1!SCDPT6SN1_14ENDIN_10</vt:lpstr>
      <vt:lpstr>GMIC_22A_SCDPT6SN1!SCDPT6SN1_14ENDIN_11</vt:lpstr>
      <vt:lpstr>GMIC_22A_SCDPT6SN1!SCDPT6SN1_14ENDIN_12</vt:lpstr>
      <vt:lpstr>GMIC_22A_SCDPT6SN1!SCDPT6SN1_14ENDIN_13</vt:lpstr>
      <vt:lpstr>GMIC_22A_SCDPT6SN1!SCDPT6SN1_14ENDIN_14</vt:lpstr>
      <vt:lpstr>GMIC_22A_SCDPT6SN1!SCDPT6SN1_14ENDIN_15</vt:lpstr>
      <vt:lpstr>GMIC_22A_SCDPT6SN1!SCDPT6SN1_14ENDIN_16</vt:lpstr>
      <vt:lpstr>GMIC_22A_SCDPT6SN1!SCDPT6SN1_14ENDIN_17</vt:lpstr>
      <vt:lpstr>GMIC_22A_SCDPT6SN1!SCDPT6SN1_14ENDIN_18</vt:lpstr>
      <vt:lpstr>GMIC_22A_SCDPT6SN1!SCDPT6SN1_14ENDIN_19</vt:lpstr>
      <vt:lpstr>GMIC_22A_SCDPT6SN1!SCDPT6SN1_14ENDIN_2</vt:lpstr>
      <vt:lpstr>GMIC_22A_SCDPT6SN1!SCDPT6SN1_14ENDIN_3</vt:lpstr>
      <vt:lpstr>GMIC_22A_SCDPT6SN1!SCDPT6SN1_14ENDIN_4</vt:lpstr>
      <vt:lpstr>GMIC_22A_SCDPT6SN1!SCDPT6SN1_14ENDIN_5</vt:lpstr>
      <vt:lpstr>GMIC_22A_SCDPT6SN1!SCDPT6SN1_14ENDIN_6</vt:lpstr>
      <vt:lpstr>GMIC_22A_SCDPT6SN1!SCDPT6SN1_14ENDIN_7</vt:lpstr>
      <vt:lpstr>GMIC_22A_SCDPT6SN1!SCDPT6SN1_14ENDIN_8</vt:lpstr>
      <vt:lpstr>GMIC_22A_SCDPT6SN1!SCDPT6SN1_14ENDIN_9</vt:lpstr>
      <vt:lpstr>GMIC_22A_SCDPT6SN1!SCDPT6SN1_1500000_Range</vt:lpstr>
      <vt:lpstr>GMIC_22A_SCDPT6SN1!SCDPT6SN1_1599999_16</vt:lpstr>
      <vt:lpstr>GMIC_22A_SCDPT6SN1!SCDPT6SN1_1599999_17</vt:lpstr>
      <vt:lpstr>GMIC_22A_SCDPT6SN1!SCDPT6SN1_1599999_18</vt:lpstr>
      <vt:lpstr>GMIC_22A_SCDPT6SN1!SCDPT6SN1_1599999_7</vt:lpstr>
      <vt:lpstr>GMIC_22A_SCDPT6SN1!SCDPT6SN1_1599999_8</vt:lpstr>
      <vt:lpstr>GMIC_22A_SCDPT6SN1!SCDPT6SN1_1599999_9</vt:lpstr>
      <vt:lpstr>GMIC_22A_SCDPT6SN1!SCDPT6SN1_15BEGIN_1</vt:lpstr>
      <vt:lpstr>GMIC_22A_SCDPT6SN1!SCDPT6SN1_15BEGIN_10</vt:lpstr>
      <vt:lpstr>GMIC_22A_SCDPT6SN1!SCDPT6SN1_15BEGIN_11</vt:lpstr>
      <vt:lpstr>GMIC_22A_SCDPT6SN1!SCDPT6SN1_15BEGIN_12</vt:lpstr>
      <vt:lpstr>GMIC_22A_SCDPT6SN1!SCDPT6SN1_15BEGIN_13</vt:lpstr>
      <vt:lpstr>GMIC_22A_SCDPT6SN1!SCDPT6SN1_15BEGIN_14</vt:lpstr>
      <vt:lpstr>GMIC_22A_SCDPT6SN1!SCDPT6SN1_15BEGIN_15</vt:lpstr>
      <vt:lpstr>GMIC_22A_SCDPT6SN1!SCDPT6SN1_15BEGIN_16</vt:lpstr>
      <vt:lpstr>GMIC_22A_SCDPT6SN1!SCDPT6SN1_15BEGIN_17</vt:lpstr>
      <vt:lpstr>GMIC_22A_SCDPT6SN1!SCDPT6SN1_15BEGIN_18</vt:lpstr>
      <vt:lpstr>GMIC_22A_SCDPT6SN1!SCDPT6SN1_15BEGIN_19</vt:lpstr>
      <vt:lpstr>GMIC_22A_SCDPT6SN1!SCDPT6SN1_15BEGIN_2</vt:lpstr>
      <vt:lpstr>GMIC_22A_SCDPT6SN1!SCDPT6SN1_15BEGIN_3</vt:lpstr>
      <vt:lpstr>GMIC_22A_SCDPT6SN1!SCDPT6SN1_15BEGIN_4</vt:lpstr>
      <vt:lpstr>GMIC_22A_SCDPT6SN1!SCDPT6SN1_15BEGIN_5</vt:lpstr>
      <vt:lpstr>GMIC_22A_SCDPT6SN1!SCDPT6SN1_15BEGIN_6</vt:lpstr>
      <vt:lpstr>GMIC_22A_SCDPT6SN1!SCDPT6SN1_15BEGIN_7</vt:lpstr>
      <vt:lpstr>GMIC_22A_SCDPT6SN1!SCDPT6SN1_15BEGIN_8</vt:lpstr>
      <vt:lpstr>GMIC_22A_SCDPT6SN1!SCDPT6SN1_15BEGIN_9</vt:lpstr>
      <vt:lpstr>GMIC_22A_SCDPT6SN1!SCDPT6SN1_15ENDIN_10</vt:lpstr>
      <vt:lpstr>GMIC_22A_SCDPT6SN1!SCDPT6SN1_15ENDIN_11</vt:lpstr>
      <vt:lpstr>GMIC_22A_SCDPT6SN1!SCDPT6SN1_15ENDIN_12</vt:lpstr>
      <vt:lpstr>GMIC_22A_SCDPT6SN1!SCDPT6SN1_15ENDIN_13</vt:lpstr>
      <vt:lpstr>GMIC_22A_SCDPT6SN1!SCDPT6SN1_15ENDIN_14</vt:lpstr>
      <vt:lpstr>GMIC_22A_SCDPT6SN1!SCDPT6SN1_15ENDIN_15</vt:lpstr>
      <vt:lpstr>GMIC_22A_SCDPT6SN1!SCDPT6SN1_15ENDIN_16</vt:lpstr>
      <vt:lpstr>GMIC_22A_SCDPT6SN1!SCDPT6SN1_15ENDIN_17</vt:lpstr>
      <vt:lpstr>GMIC_22A_SCDPT6SN1!SCDPT6SN1_15ENDIN_18</vt:lpstr>
      <vt:lpstr>GMIC_22A_SCDPT6SN1!SCDPT6SN1_15ENDIN_19</vt:lpstr>
      <vt:lpstr>GMIC_22A_SCDPT6SN1!SCDPT6SN1_15ENDIN_2</vt:lpstr>
      <vt:lpstr>GMIC_22A_SCDPT6SN1!SCDPT6SN1_15ENDIN_3</vt:lpstr>
      <vt:lpstr>GMIC_22A_SCDPT6SN1!SCDPT6SN1_15ENDIN_4</vt:lpstr>
      <vt:lpstr>GMIC_22A_SCDPT6SN1!SCDPT6SN1_15ENDIN_5</vt:lpstr>
      <vt:lpstr>GMIC_22A_SCDPT6SN1!SCDPT6SN1_15ENDIN_6</vt:lpstr>
      <vt:lpstr>GMIC_22A_SCDPT6SN1!SCDPT6SN1_15ENDIN_7</vt:lpstr>
      <vt:lpstr>GMIC_22A_SCDPT6SN1!SCDPT6SN1_15ENDIN_8</vt:lpstr>
      <vt:lpstr>GMIC_22A_SCDPT6SN1!SCDPT6SN1_15ENDIN_9</vt:lpstr>
      <vt:lpstr>GMIC_22A_SCDPT6SN1!SCDPT6SN1_1600000_Range</vt:lpstr>
      <vt:lpstr>GMIC_22A_SCDPT6SN1!SCDPT6SN1_1699999_16</vt:lpstr>
      <vt:lpstr>GMIC_22A_SCDPT6SN1!SCDPT6SN1_1699999_17</vt:lpstr>
      <vt:lpstr>GMIC_22A_SCDPT6SN1!SCDPT6SN1_1699999_18</vt:lpstr>
      <vt:lpstr>GMIC_22A_SCDPT6SN1!SCDPT6SN1_1699999_7</vt:lpstr>
      <vt:lpstr>GMIC_22A_SCDPT6SN1!SCDPT6SN1_1699999_8</vt:lpstr>
      <vt:lpstr>GMIC_22A_SCDPT6SN1!SCDPT6SN1_1699999_9</vt:lpstr>
      <vt:lpstr>GMIC_22A_SCDPT6SN1!SCDPT6SN1_16BEGIN_1</vt:lpstr>
      <vt:lpstr>GMIC_22A_SCDPT6SN1!SCDPT6SN1_16BEGIN_10</vt:lpstr>
      <vt:lpstr>GMIC_22A_SCDPT6SN1!SCDPT6SN1_16BEGIN_11</vt:lpstr>
      <vt:lpstr>GMIC_22A_SCDPT6SN1!SCDPT6SN1_16BEGIN_12</vt:lpstr>
      <vt:lpstr>GMIC_22A_SCDPT6SN1!SCDPT6SN1_16BEGIN_13</vt:lpstr>
      <vt:lpstr>GMIC_22A_SCDPT6SN1!SCDPT6SN1_16BEGIN_14</vt:lpstr>
      <vt:lpstr>GMIC_22A_SCDPT6SN1!SCDPT6SN1_16BEGIN_15</vt:lpstr>
      <vt:lpstr>GMIC_22A_SCDPT6SN1!SCDPT6SN1_16BEGIN_16</vt:lpstr>
      <vt:lpstr>GMIC_22A_SCDPT6SN1!SCDPT6SN1_16BEGIN_17</vt:lpstr>
      <vt:lpstr>GMIC_22A_SCDPT6SN1!SCDPT6SN1_16BEGIN_18</vt:lpstr>
      <vt:lpstr>GMIC_22A_SCDPT6SN1!SCDPT6SN1_16BEGIN_19</vt:lpstr>
      <vt:lpstr>GMIC_22A_SCDPT6SN1!SCDPT6SN1_16BEGIN_2</vt:lpstr>
      <vt:lpstr>GMIC_22A_SCDPT6SN1!SCDPT6SN1_16BEGIN_3</vt:lpstr>
      <vt:lpstr>GMIC_22A_SCDPT6SN1!SCDPT6SN1_16BEGIN_4</vt:lpstr>
      <vt:lpstr>GMIC_22A_SCDPT6SN1!SCDPT6SN1_16BEGIN_5</vt:lpstr>
      <vt:lpstr>GMIC_22A_SCDPT6SN1!SCDPT6SN1_16BEGIN_6</vt:lpstr>
      <vt:lpstr>GMIC_22A_SCDPT6SN1!SCDPT6SN1_16BEGIN_7</vt:lpstr>
      <vt:lpstr>GMIC_22A_SCDPT6SN1!SCDPT6SN1_16BEGIN_8</vt:lpstr>
      <vt:lpstr>GMIC_22A_SCDPT6SN1!SCDPT6SN1_16BEGIN_9</vt:lpstr>
      <vt:lpstr>GMIC_22A_SCDPT6SN1!SCDPT6SN1_16ENDIN_10</vt:lpstr>
      <vt:lpstr>GMIC_22A_SCDPT6SN1!SCDPT6SN1_16ENDIN_11</vt:lpstr>
      <vt:lpstr>GMIC_22A_SCDPT6SN1!SCDPT6SN1_16ENDIN_12</vt:lpstr>
      <vt:lpstr>GMIC_22A_SCDPT6SN1!SCDPT6SN1_16ENDIN_13</vt:lpstr>
      <vt:lpstr>GMIC_22A_SCDPT6SN1!SCDPT6SN1_16ENDIN_14</vt:lpstr>
      <vt:lpstr>GMIC_22A_SCDPT6SN1!SCDPT6SN1_16ENDIN_15</vt:lpstr>
      <vt:lpstr>GMIC_22A_SCDPT6SN1!SCDPT6SN1_16ENDIN_16</vt:lpstr>
      <vt:lpstr>GMIC_22A_SCDPT6SN1!SCDPT6SN1_16ENDIN_17</vt:lpstr>
      <vt:lpstr>GMIC_22A_SCDPT6SN1!SCDPT6SN1_16ENDIN_18</vt:lpstr>
      <vt:lpstr>GMIC_22A_SCDPT6SN1!SCDPT6SN1_16ENDIN_19</vt:lpstr>
      <vt:lpstr>GMIC_22A_SCDPT6SN1!SCDPT6SN1_16ENDIN_2</vt:lpstr>
      <vt:lpstr>GMIC_22A_SCDPT6SN1!SCDPT6SN1_16ENDIN_3</vt:lpstr>
      <vt:lpstr>GMIC_22A_SCDPT6SN1!SCDPT6SN1_16ENDIN_4</vt:lpstr>
      <vt:lpstr>GMIC_22A_SCDPT6SN1!SCDPT6SN1_16ENDIN_5</vt:lpstr>
      <vt:lpstr>GMIC_22A_SCDPT6SN1!SCDPT6SN1_16ENDIN_6</vt:lpstr>
      <vt:lpstr>GMIC_22A_SCDPT6SN1!SCDPT6SN1_16ENDIN_7</vt:lpstr>
      <vt:lpstr>GMIC_22A_SCDPT6SN1!SCDPT6SN1_16ENDIN_8</vt:lpstr>
      <vt:lpstr>GMIC_22A_SCDPT6SN1!SCDPT6SN1_16ENDIN_9</vt:lpstr>
      <vt:lpstr>GMIC_22A_SCDPT6SN1!SCDPT6SN1_1700000_Range</vt:lpstr>
      <vt:lpstr>GMIC_22A_SCDPT6SN1!SCDPT6SN1_1700001_1</vt:lpstr>
      <vt:lpstr>GMIC_22A_SCDPT6SN1!SCDPT6SN1_1700001_10</vt:lpstr>
      <vt:lpstr>GMIC_22A_SCDPT6SN1!SCDPT6SN1_1700001_11</vt:lpstr>
      <vt:lpstr>GMIC_22A_SCDPT6SN1!SCDPT6SN1_1700001_12</vt:lpstr>
      <vt:lpstr>GMIC_22A_SCDPT6SN1!SCDPT6SN1_1700001_13</vt:lpstr>
      <vt:lpstr>GMIC_22A_SCDPT6SN1!SCDPT6SN1_1700001_14</vt:lpstr>
      <vt:lpstr>GMIC_22A_SCDPT6SN1!SCDPT6SN1_1700001_15</vt:lpstr>
      <vt:lpstr>GMIC_22A_SCDPT6SN1!SCDPT6SN1_1700001_16</vt:lpstr>
      <vt:lpstr>GMIC_22A_SCDPT6SN1!SCDPT6SN1_1700001_17</vt:lpstr>
      <vt:lpstr>GMIC_22A_SCDPT6SN1!SCDPT6SN1_1700001_18</vt:lpstr>
      <vt:lpstr>GMIC_22A_SCDPT6SN1!SCDPT6SN1_1700001_19</vt:lpstr>
      <vt:lpstr>GMIC_22A_SCDPT6SN1!SCDPT6SN1_1700001_2</vt:lpstr>
      <vt:lpstr>GMIC_22A_SCDPT6SN1!SCDPT6SN1_1700001_3</vt:lpstr>
      <vt:lpstr>GMIC_22A_SCDPT6SN1!SCDPT6SN1_1700001_4</vt:lpstr>
      <vt:lpstr>GMIC_22A_SCDPT6SN1!SCDPT6SN1_1700001_5</vt:lpstr>
      <vt:lpstr>GMIC_22A_SCDPT6SN1!SCDPT6SN1_1700001_6</vt:lpstr>
      <vt:lpstr>GMIC_22A_SCDPT6SN1!SCDPT6SN1_1700001_7</vt:lpstr>
      <vt:lpstr>GMIC_22A_SCDPT6SN1!SCDPT6SN1_1700001_8</vt:lpstr>
      <vt:lpstr>GMIC_22A_SCDPT6SN1!SCDPT6SN1_1700001_9</vt:lpstr>
      <vt:lpstr>GMIC_22A_SCDPT6SN1!SCDPT6SN1_1799999_16</vt:lpstr>
      <vt:lpstr>GMIC_22A_SCDPT6SN1!SCDPT6SN1_1799999_17</vt:lpstr>
      <vt:lpstr>GMIC_22A_SCDPT6SN1!SCDPT6SN1_1799999_18</vt:lpstr>
      <vt:lpstr>GMIC_22A_SCDPT6SN1!SCDPT6SN1_1799999_7</vt:lpstr>
      <vt:lpstr>GMIC_22A_SCDPT6SN1!SCDPT6SN1_1799999_8</vt:lpstr>
      <vt:lpstr>GMIC_22A_SCDPT6SN1!SCDPT6SN1_1799999_9</vt:lpstr>
      <vt:lpstr>GMIC_22A_SCDPT6SN1!SCDPT6SN1_17BEGIN_1</vt:lpstr>
      <vt:lpstr>GMIC_22A_SCDPT6SN1!SCDPT6SN1_17BEGIN_10</vt:lpstr>
      <vt:lpstr>GMIC_22A_SCDPT6SN1!SCDPT6SN1_17BEGIN_11</vt:lpstr>
      <vt:lpstr>GMIC_22A_SCDPT6SN1!SCDPT6SN1_17BEGIN_12</vt:lpstr>
      <vt:lpstr>GMIC_22A_SCDPT6SN1!SCDPT6SN1_17BEGIN_13</vt:lpstr>
      <vt:lpstr>GMIC_22A_SCDPT6SN1!SCDPT6SN1_17BEGIN_14</vt:lpstr>
      <vt:lpstr>GMIC_22A_SCDPT6SN1!SCDPT6SN1_17BEGIN_15</vt:lpstr>
      <vt:lpstr>GMIC_22A_SCDPT6SN1!SCDPT6SN1_17BEGIN_16</vt:lpstr>
      <vt:lpstr>GMIC_22A_SCDPT6SN1!SCDPT6SN1_17BEGIN_17</vt:lpstr>
      <vt:lpstr>GMIC_22A_SCDPT6SN1!SCDPT6SN1_17BEGIN_18</vt:lpstr>
      <vt:lpstr>GMIC_22A_SCDPT6SN1!SCDPT6SN1_17BEGIN_19</vt:lpstr>
      <vt:lpstr>GMIC_22A_SCDPT6SN1!SCDPT6SN1_17BEGIN_2</vt:lpstr>
      <vt:lpstr>GMIC_22A_SCDPT6SN1!SCDPT6SN1_17BEGIN_3</vt:lpstr>
      <vt:lpstr>GMIC_22A_SCDPT6SN1!SCDPT6SN1_17BEGIN_4</vt:lpstr>
      <vt:lpstr>GMIC_22A_SCDPT6SN1!SCDPT6SN1_17BEGIN_5</vt:lpstr>
      <vt:lpstr>GMIC_22A_SCDPT6SN1!SCDPT6SN1_17BEGIN_6</vt:lpstr>
      <vt:lpstr>GMIC_22A_SCDPT6SN1!SCDPT6SN1_17BEGIN_7</vt:lpstr>
      <vt:lpstr>GMIC_22A_SCDPT6SN1!SCDPT6SN1_17BEGIN_8</vt:lpstr>
      <vt:lpstr>GMIC_22A_SCDPT6SN1!SCDPT6SN1_17BEGIN_9</vt:lpstr>
      <vt:lpstr>GMIC_22A_SCDPT6SN1!SCDPT6SN1_17ENDIN_10</vt:lpstr>
      <vt:lpstr>GMIC_22A_SCDPT6SN1!SCDPT6SN1_17ENDIN_11</vt:lpstr>
      <vt:lpstr>GMIC_22A_SCDPT6SN1!SCDPT6SN1_17ENDIN_12</vt:lpstr>
      <vt:lpstr>GMIC_22A_SCDPT6SN1!SCDPT6SN1_17ENDIN_13</vt:lpstr>
      <vt:lpstr>GMIC_22A_SCDPT6SN1!SCDPT6SN1_17ENDIN_14</vt:lpstr>
      <vt:lpstr>GMIC_22A_SCDPT6SN1!SCDPT6SN1_17ENDIN_15</vt:lpstr>
      <vt:lpstr>GMIC_22A_SCDPT6SN1!SCDPT6SN1_17ENDIN_16</vt:lpstr>
      <vt:lpstr>GMIC_22A_SCDPT6SN1!SCDPT6SN1_17ENDIN_17</vt:lpstr>
      <vt:lpstr>GMIC_22A_SCDPT6SN1!SCDPT6SN1_17ENDIN_18</vt:lpstr>
      <vt:lpstr>GMIC_22A_SCDPT6SN1!SCDPT6SN1_17ENDIN_19</vt:lpstr>
      <vt:lpstr>GMIC_22A_SCDPT6SN1!SCDPT6SN1_17ENDIN_2</vt:lpstr>
      <vt:lpstr>GMIC_22A_SCDPT6SN1!SCDPT6SN1_17ENDIN_3</vt:lpstr>
      <vt:lpstr>GMIC_22A_SCDPT6SN1!SCDPT6SN1_17ENDIN_4</vt:lpstr>
      <vt:lpstr>GMIC_22A_SCDPT6SN1!SCDPT6SN1_17ENDIN_5</vt:lpstr>
      <vt:lpstr>GMIC_22A_SCDPT6SN1!SCDPT6SN1_17ENDIN_6</vt:lpstr>
      <vt:lpstr>GMIC_22A_SCDPT6SN1!SCDPT6SN1_17ENDIN_7</vt:lpstr>
      <vt:lpstr>GMIC_22A_SCDPT6SN1!SCDPT6SN1_17ENDIN_8</vt:lpstr>
      <vt:lpstr>GMIC_22A_SCDPT6SN1!SCDPT6SN1_17ENDIN_9</vt:lpstr>
      <vt:lpstr>GMIC_22A_SCDPT6SN1!SCDPT6SN1_1899999_16</vt:lpstr>
      <vt:lpstr>GMIC_22A_SCDPT6SN1!SCDPT6SN1_1899999_17</vt:lpstr>
      <vt:lpstr>GMIC_22A_SCDPT6SN1!SCDPT6SN1_1899999_18</vt:lpstr>
      <vt:lpstr>GMIC_22A_SCDPT6SN1!SCDPT6SN1_1899999_7</vt:lpstr>
      <vt:lpstr>GMIC_22A_SCDPT6SN1!SCDPT6SN1_1899999_8</vt:lpstr>
      <vt:lpstr>GMIC_22A_SCDPT6SN1!SCDPT6SN1_1899999_9</vt:lpstr>
      <vt:lpstr>GMIC_22A_SCDPT6SN1!SCDPT6SN1_1999999_16</vt:lpstr>
      <vt:lpstr>GMIC_22A_SCDPT6SN1!SCDPT6SN1_1999999_17</vt:lpstr>
      <vt:lpstr>GMIC_22A_SCDPT6SN1!SCDPT6SN1_1999999_18</vt:lpstr>
      <vt:lpstr>GMIC_22A_SCDPT6SN1!SCDPT6SN1_1999999_7</vt:lpstr>
      <vt:lpstr>GMIC_22A_SCDPT6SN1!SCDPT6SN1_1999999_8</vt:lpstr>
      <vt:lpstr>GMIC_22A_SCDPT6SN1!SCDPT6SN1_1999999_9</vt:lpstr>
      <vt:lpstr>GMIC_22A_SCDPT6SN1F!SCDPT6SN1F_0000001_1</vt:lpstr>
      <vt:lpstr>GMIC_22A_SCDPT6SN2!SCDPT6SN2_0100000_Range</vt:lpstr>
      <vt:lpstr>GMIC_22A_SCDPT6SN2!SCDPT6SN2_0199999_4</vt:lpstr>
      <vt:lpstr>GMIC_22A_SCDPT6SN2!SCDPT6SN2_01BEGIN_1</vt:lpstr>
      <vt:lpstr>GMIC_22A_SCDPT6SN2!SCDPT6SN2_01BEGIN_2</vt:lpstr>
      <vt:lpstr>GMIC_22A_SCDPT6SN2!SCDPT6SN2_01BEGIN_3</vt:lpstr>
      <vt:lpstr>GMIC_22A_SCDPT6SN2!SCDPT6SN2_01BEGIN_4</vt:lpstr>
      <vt:lpstr>GMIC_22A_SCDPT6SN2!SCDPT6SN2_01BEGIN_5</vt:lpstr>
      <vt:lpstr>GMIC_22A_SCDPT6SN2!SCDPT6SN2_01BEGIN_6</vt:lpstr>
      <vt:lpstr>GMIC_22A_SCDPT6SN2!SCDPT6SN2_01BEGIN_7</vt:lpstr>
      <vt:lpstr>GMIC_22A_SCDPT6SN2!SCDPT6SN2_01ENDIN_2</vt:lpstr>
      <vt:lpstr>GMIC_22A_SCDPT6SN2!SCDPT6SN2_01ENDIN_3</vt:lpstr>
      <vt:lpstr>GMIC_22A_SCDPT6SN2!SCDPT6SN2_01ENDIN_4</vt:lpstr>
      <vt:lpstr>GMIC_22A_SCDPT6SN2!SCDPT6SN2_01ENDIN_5</vt:lpstr>
      <vt:lpstr>GMIC_22A_SCDPT6SN2!SCDPT6SN2_01ENDIN_6</vt:lpstr>
      <vt:lpstr>GMIC_22A_SCDPT6SN2!SCDPT6SN2_01ENDIN_7</vt:lpstr>
      <vt:lpstr>GMIC_22A_SCDPT6SN2!SCDPT6SN2_0200000_Range</vt:lpstr>
      <vt:lpstr>GMIC_22A_SCDPT6SN2!SCDPT6SN2_0299999_4</vt:lpstr>
      <vt:lpstr>GMIC_22A_SCDPT6SN2!SCDPT6SN2_02BEGIN_1</vt:lpstr>
      <vt:lpstr>GMIC_22A_SCDPT6SN2!SCDPT6SN2_02BEGIN_2</vt:lpstr>
      <vt:lpstr>GMIC_22A_SCDPT6SN2!SCDPT6SN2_02BEGIN_3</vt:lpstr>
      <vt:lpstr>GMIC_22A_SCDPT6SN2!SCDPT6SN2_02BEGIN_4</vt:lpstr>
      <vt:lpstr>GMIC_22A_SCDPT6SN2!SCDPT6SN2_02BEGIN_5</vt:lpstr>
      <vt:lpstr>GMIC_22A_SCDPT6SN2!SCDPT6SN2_02BEGIN_6</vt:lpstr>
      <vt:lpstr>GMIC_22A_SCDPT6SN2!SCDPT6SN2_02BEGIN_7</vt:lpstr>
      <vt:lpstr>GMIC_22A_SCDPT6SN2!SCDPT6SN2_02ENDIN_2</vt:lpstr>
      <vt:lpstr>GMIC_22A_SCDPT6SN2!SCDPT6SN2_02ENDIN_3</vt:lpstr>
      <vt:lpstr>GMIC_22A_SCDPT6SN2!SCDPT6SN2_02ENDIN_4</vt:lpstr>
      <vt:lpstr>GMIC_22A_SCDPT6SN2!SCDPT6SN2_02ENDIN_5</vt:lpstr>
      <vt:lpstr>GMIC_22A_SCDPT6SN2!SCDPT6SN2_02ENDIN_6</vt:lpstr>
      <vt:lpstr>GMIC_22A_SCDPT6SN2!SCDPT6SN2_02ENDIN_7</vt:lpstr>
      <vt:lpstr>GMIC_22A_SCDPT6SN2!SCDPT6SN2_0399999_4</vt:lpstr>
      <vt:lpstr>GMIC_22A_SCDPT1!Wings_Company_ID</vt:lpstr>
      <vt:lpstr>GMIC_22A_SCDPT1F!Wings_Company_ID</vt:lpstr>
      <vt:lpstr>GMIC_22A_SCDPT2SN1!Wings_Company_ID</vt:lpstr>
      <vt:lpstr>GMIC_22A_SCDPT2SN1F!Wings_Company_ID</vt:lpstr>
      <vt:lpstr>GMIC_22A_SCDPT2SN2!Wings_Company_ID</vt:lpstr>
      <vt:lpstr>GMIC_22A_SCDPT2SN2F!Wings_Company_ID</vt:lpstr>
      <vt:lpstr>GMIC_22A_SCDPT3!Wings_Company_ID</vt:lpstr>
      <vt:lpstr>GMIC_22A_SCDPT4!Wings_Company_ID</vt:lpstr>
      <vt:lpstr>GMIC_22A_SCDPT5!Wings_Company_ID</vt:lpstr>
      <vt:lpstr>GMIC_22A_SCDPT6SN1!Wings_Company_ID</vt:lpstr>
      <vt:lpstr>GMIC_22A_SCDPT6SN1F!Wings_Company_ID</vt:lpstr>
      <vt:lpstr>GMIC_22A_SCDPT6SN2!Wings_Company_ID</vt:lpstr>
      <vt:lpstr>GMIC_22A_SCDPT1!WINGS_Identifier_ID</vt:lpstr>
      <vt:lpstr>GMIC_22A_SCDPT1F!WINGS_Identifier_ID</vt:lpstr>
      <vt:lpstr>GMIC_22A_SCDPT2SN1!WINGS_Identifier_ID</vt:lpstr>
      <vt:lpstr>GMIC_22A_SCDPT2SN1F!WINGS_Identifier_ID</vt:lpstr>
      <vt:lpstr>GMIC_22A_SCDPT2SN2!WINGS_Identifier_ID</vt:lpstr>
      <vt:lpstr>GMIC_22A_SCDPT2SN2F!WINGS_Identifier_ID</vt:lpstr>
      <vt:lpstr>GMIC_22A_SCDPT3!WINGS_Identifier_ID</vt:lpstr>
      <vt:lpstr>GMIC_22A_SCDPT4!WINGS_Identifier_ID</vt:lpstr>
      <vt:lpstr>GMIC_22A_SCDPT5!WINGS_Identifier_ID</vt:lpstr>
      <vt:lpstr>GMIC_22A_SCDPT6SN1!WINGS_Identifier_ID</vt:lpstr>
      <vt:lpstr>GMIC_22A_SCDPT6SN1F!WINGS_Identifier_ID</vt:lpstr>
      <vt:lpstr>GMIC_22A_SCDPT6SN2!WINGS_Identifier_ID</vt:lpstr>
      <vt:lpstr>GMIC_22A_SCDPT1!Wings_IdentTable_ID</vt:lpstr>
      <vt:lpstr>GMIC_22A_SCDPT1F!Wings_IdentTable_ID</vt:lpstr>
      <vt:lpstr>GMIC_22A_SCDPT2SN1!Wings_IdentTable_ID</vt:lpstr>
      <vt:lpstr>GMIC_22A_SCDPT2SN1F!Wings_IdentTable_ID</vt:lpstr>
      <vt:lpstr>GMIC_22A_SCDPT2SN2!Wings_IdentTable_ID</vt:lpstr>
      <vt:lpstr>GMIC_22A_SCDPT2SN2F!Wings_IdentTable_ID</vt:lpstr>
      <vt:lpstr>GMIC_22A_SCDPT3!Wings_IdentTable_ID</vt:lpstr>
      <vt:lpstr>GMIC_22A_SCDPT4!Wings_IdentTable_ID</vt:lpstr>
      <vt:lpstr>GMIC_22A_SCDPT5!Wings_IdentTable_ID</vt:lpstr>
      <vt:lpstr>GMIC_22A_SCDPT6SN1!Wings_IdentTable_ID</vt:lpstr>
      <vt:lpstr>GMIC_22A_SCDPT6SN1F!Wings_IdentTable_ID</vt:lpstr>
      <vt:lpstr>GMIC_22A_SCDPT6SN2!Wings_IdentTable_ID</vt:lpstr>
      <vt:lpstr>GMIC_22A_SCDPT1!Wings_Statement_ID</vt:lpstr>
      <vt:lpstr>GMIC_22A_SCDPT1F!Wings_Statement_ID</vt:lpstr>
      <vt:lpstr>GMIC_22A_SCDPT2SN1!Wings_Statement_ID</vt:lpstr>
      <vt:lpstr>GMIC_22A_SCDPT2SN1F!Wings_Statement_ID</vt:lpstr>
      <vt:lpstr>GMIC_22A_SCDPT2SN2!Wings_Statement_ID</vt:lpstr>
      <vt:lpstr>GMIC_22A_SCDPT2SN2F!Wings_Statement_ID</vt:lpstr>
      <vt:lpstr>GMIC_22A_SCDPT3!Wings_Statement_ID</vt:lpstr>
      <vt:lpstr>GMIC_22A_SCDPT4!Wings_Statement_ID</vt:lpstr>
      <vt:lpstr>GMIC_22A_SCDPT5!Wings_Statement_ID</vt:lpstr>
      <vt:lpstr>GMIC_22A_SCDPT6SN1!Wings_Statement_ID</vt:lpstr>
      <vt:lpstr>GMIC_22A_SCDPT6SN1F!Wings_Statement_ID</vt:lpstr>
      <vt:lpstr>GMIC_22A_SCDPT6SN2!Wings_Statement_ID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Howarth, Nick (Enact MI - Contractor)</dc:creator>
  <cp:lastModifiedBy>Howarth, Nick (Genworth MI, Now Enact - Contractor)</cp:lastModifiedBy>
  <dcterms:created xsi:type="dcterms:W3CDTF">2023-03-03T13:44:55Z</dcterms:created>
  <dcterms:modified xsi:type="dcterms:W3CDTF">2023-03-03T13:44:56Z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fa47cad3-fb73-4d06-9a7c-328ab2a32919</vt:lpwstr>
  </property>
  <property fmtid="{D5CDD505-2E9C-101B-9397-08002B2CF9AE}" pid="3" name="bjSaver">
    <vt:lpwstr>cedVKr0/mF62WDYNEx7WXOGQZM2+ZIcZ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policy="a831b724-560d-41bb-a7f0-593f1e1cf2c9"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/&gt;&lt;element uid="78ca77a2-5b0f-4c8b-9fd2-e0d76e76104a" value="" /&gt;&lt;/sisl&gt;</vt:lpwstr>
  </property>
  <property fmtid="{D5CDD505-2E9C-101B-9397-08002B2CF9AE}" pid="6" name="bjDocumentSecurityLabel">
    <vt:lpwstr>UNRESTRICTED</vt:lpwstr>
  </property>
  <property fmtid="{D5CDD505-2E9C-101B-9397-08002B2CF9AE}" pid="7" name="bjLabelHistoryID">
    <vt:lpwstr>{A67F5A39-0A47-4FD3-A1B2-F65F52787F1E}</vt:lpwstr>
  </property>
</Properties>
</file>